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9- SETEMBRO\20  CERVAM - Michelle\Estrutura\"/>
    </mc:Choice>
  </mc:AlternateContent>
  <xr:revisionPtr revIDLastSave="0" documentId="13_ncr:1_{65F4592E-F2E5-484E-B103-2BB9CB03995D}" xr6:coauthVersionLast="47" xr6:coauthVersionMax="47" xr10:uidLastSave="{00000000-0000-0000-0000-000000000000}"/>
  <bookViews>
    <workbookView xWindow="-24120" yWindow="1965" windowWidth="24240" windowHeight="13140" tabRatio="774" firstSheet="20" activeTab="26" xr2:uid="{C034A9FC-1834-4496-8468-8514A31362C0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0" r:id="rId31"/>
    <pivotCache cacheId="1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I2" i="27" s="1"/>
  <c r="B2" i="27"/>
  <c r="C2" i="27"/>
  <c r="D2" i="27"/>
  <c r="E2" i="27"/>
  <c r="F2" i="27"/>
  <c r="G2" i="27"/>
  <c r="H2" i="27"/>
  <c r="J2" i="27"/>
  <c r="K2" i="27"/>
  <c r="L2" i="27"/>
  <c r="B11" i="27"/>
  <c r="P11" i="5" l="1"/>
  <c r="P10" i="5"/>
  <c r="P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R13" i="21"/>
  <c r="X13" i="21" s="1"/>
  <c r="AF13" i="21" s="1"/>
  <c r="AE12" i="21"/>
  <c r="AD12" i="21"/>
  <c r="AD11" i="21"/>
  <c r="AE8" i="21"/>
  <c r="AD8" i="21"/>
  <c r="AC8" i="21"/>
  <c r="AB8" i="21"/>
  <c r="AA8" i="21"/>
  <c r="W8" i="21"/>
  <c r="V8" i="21"/>
  <c r="U8" i="21"/>
  <c r="AI8" i="21" s="1"/>
  <c r="T8" i="21"/>
  <c r="S8" i="21"/>
  <c r="R8" i="21"/>
  <c r="X8" i="21" s="1"/>
  <c r="AF8" i="21" s="1"/>
  <c r="AE6" i="21"/>
  <c r="AD6" i="21"/>
  <c r="AC6" i="21"/>
  <c r="AB6" i="21"/>
  <c r="AA6" i="21"/>
  <c r="W6" i="21"/>
  <c r="AJ6" i="21" s="1"/>
  <c r="V6" i="21"/>
  <c r="U6" i="21"/>
  <c r="X6" i="21" s="1"/>
  <c r="AF6" i="21" s="1"/>
  <c r="T6" i="21"/>
  <c r="S6" i="21"/>
  <c r="Y6" i="21" s="1"/>
  <c r="R6" i="21"/>
  <c r="AE5" i="21"/>
  <c r="AD5" i="21"/>
  <c r="AC5" i="21"/>
  <c r="AB5" i="21"/>
  <c r="AA5" i="21"/>
  <c r="W5" i="21"/>
  <c r="V5" i="21"/>
  <c r="U5" i="21"/>
  <c r="AI5" i="21" s="1"/>
  <c r="T5" i="21"/>
  <c r="S5" i="21"/>
  <c r="Y5" i="21" s="1"/>
  <c r="AG5" i="21" s="1"/>
  <c r="R5" i="21"/>
  <c r="X5" i="21" s="1"/>
  <c r="AE4" i="21"/>
  <c r="AD4" i="21"/>
  <c r="AC4" i="21"/>
  <c r="AB4" i="21"/>
  <c r="AA4" i="21"/>
  <c r="W4" i="21"/>
  <c r="V4" i="21"/>
  <c r="U4" i="21"/>
  <c r="T4" i="21"/>
  <c r="S4" i="21"/>
  <c r="Y4" i="21" s="1"/>
  <c r="AG4" i="21" s="1"/>
  <c r="R4" i="21"/>
  <c r="X4" i="21" s="1"/>
  <c r="AF4" i="21" s="1"/>
  <c r="AE3" i="21"/>
  <c r="AD3" i="21"/>
  <c r="AC3" i="21"/>
  <c r="AB3" i="21"/>
  <c r="AA3" i="21"/>
  <c r="W3" i="21"/>
  <c r="V3" i="21"/>
  <c r="Y3" i="21" s="1"/>
  <c r="AG3" i="21" s="1"/>
  <c r="U3" i="21"/>
  <c r="AI3" i="21" s="1"/>
  <c r="T3" i="21"/>
  <c r="S3" i="21"/>
  <c r="R3" i="21"/>
  <c r="X3" i="21" s="1"/>
  <c r="AF3" i="21" s="1"/>
  <c r="J484" i="21"/>
  <c r="J483" i="21"/>
  <c r="J482" i="21"/>
  <c r="J481" i="21"/>
  <c r="J480" i="21"/>
  <c r="J479" i="21"/>
  <c r="J478" i="21"/>
  <c r="J477" i="21"/>
  <c r="J476" i="21"/>
  <c r="J475" i="21"/>
  <c r="J474" i="21"/>
  <c r="J473" i="21"/>
  <c r="J248" i="21"/>
  <c r="J247" i="21"/>
  <c r="J246" i="21"/>
  <c r="J245" i="21"/>
  <c r="M245" i="21" s="1"/>
  <c r="J244" i="21"/>
  <c r="J243" i="21"/>
  <c r="J242" i="21"/>
  <c r="J241" i="21"/>
  <c r="M241" i="21" s="1"/>
  <c r="J240" i="21"/>
  <c r="J239" i="21"/>
  <c r="J238" i="21"/>
  <c r="J237" i="21"/>
  <c r="M237" i="21" s="1"/>
  <c r="L236" i="21"/>
  <c r="K236" i="21"/>
  <c r="L235" i="21"/>
  <c r="K235" i="21"/>
  <c r="N235" i="21" s="1"/>
  <c r="L234" i="21"/>
  <c r="K234" i="21"/>
  <c r="L233" i="21"/>
  <c r="K233" i="21"/>
  <c r="N233" i="21" s="1"/>
  <c r="L232" i="21"/>
  <c r="K232" i="21"/>
  <c r="L231" i="21"/>
  <c r="K231" i="21"/>
  <c r="N231" i="21" s="1"/>
  <c r="L230" i="21"/>
  <c r="K230" i="21"/>
  <c r="L229" i="21"/>
  <c r="K229" i="21"/>
  <c r="N229" i="21" s="1"/>
  <c r="L228" i="21"/>
  <c r="K228" i="21"/>
  <c r="L227" i="21"/>
  <c r="K227" i="21"/>
  <c r="N227" i="21" s="1"/>
  <c r="L226" i="21"/>
  <c r="K226" i="21"/>
  <c r="L225" i="21"/>
  <c r="K225" i="21"/>
  <c r="N225" i="21" s="1"/>
  <c r="J224" i="21"/>
  <c r="J223" i="21"/>
  <c r="J222" i="21"/>
  <c r="J221" i="21"/>
  <c r="M221" i="21" s="1"/>
  <c r="J220" i="21"/>
  <c r="J219" i="21"/>
  <c r="J218" i="21"/>
  <c r="J217" i="21"/>
  <c r="M217" i="21" s="1"/>
  <c r="J216" i="21"/>
  <c r="J215" i="21"/>
  <c r="J214" i="21"/>
  <c r="J213" i="21"/>
  <c r="M213" i="21" s="1"/>
  <c r="J212" i="21"/>
  <c r="J211" i="21"/>
  <c r="J210" i="21"/>
  <c r="J209" i="21"/>
  <c r="M209" i="21" s="1"/>
  <c r="J208" i="21"/>
  <c r="J207" i="21"/>
  <c r="J206" i="21"/>
  <c r="J205" i="21"/>
  <c r="M205" i="21" s="1"/>
  <c r="J204" i="21"/>
  <c r="J203" i="21"/>
  <c r="J202" i="21"/>
  <c r="J201" i="21"/>
  <c r="M201" i="21" s="1"/>
  <c r="L200" i="21"/>
  <c r="K200" i="21"/>
  <c r="L199" i="21"/>
  <c r="K199" i="21"/>
  <c r="N199" i="21" s="1"/>
  <c r="L198" i="21"/>
  <c r="K198" i="21"/>
  <c r="L197" i="21"/>
  <c r="K197" i="21"/>
  <c r="N197" i="21" s="1"/>
  <c r="L196" i="21"/>
  <c r="K196" i="21"/>
  <c r="L195" i="21"/>
  <c r="K195" i="21"/>
  <c r="N195" i="21" s="1"/>
  <c r="L194" i="21"/>
  <c r="K194" i="21"/>
  <c r="L193" i="21"/>
  <c r="K193" i="21"/>
  <c r="N193" i="21" s="1"/>
  <c r="L192" i="21"/>
  <c r="K192" i="21"/>
  <c r="L191" i="21"/>
  <c r="K191" i="21"/>
  <c r="N191" i="21" s="1"/>
  <c r="L190" i="21"/>
  <c r="K190" i="21"/>
  <c r="L189" i="21"/>
  <c r="K189" i="21"/>
  <c r="N189" i="21" s="1"/>
  <c r="J188" i="21"/>
  <c r="J187" i="21"/>
  <c r="J186" i="21"/>
  <c r="J185" i="21"/>
  <c r="M185" i="21" s="1"/>
  <c r="J184" i="21"/>
  <c r="J183" i="21"/>
  <c r="J182" i="21"/>
  <c r="J181" i="21"/>
  <c r="M181" i="21" s="1"/>
  <c r="J180" i="21"/>
  <c r="J179" i="21"/>
  <c r="J178" i="21"/>
  <c r="J177" i="21"/>
  <c r="M177" i="21" s="1"/>
  <c r="J176" i="21"/>
  <c r="J175" i="21"/>
  <c r="J174" i="21"/>
  <c r="J173" i="21"/>
  <c r="M173" i="21" s="1"/>
  <c r="J172" i="21"/>
  <c r="J171" i="21"/>
  <c r="J170" i="21"/>
  <c r="J169" i="21"/>
  <c r="M169" i="21" s="1"/>
  <c r="J168" i="21"/>
  <c r="J167" i="21"/>
  <c r="J166" i="21"/>
  <c r="J165" i="21"/>
  <c r="M165" i="21" s="1"/>
  <c r="M508" i="21"/>
  <c r="J508" i="21"/>
  <c r="J507" i="21"/>
  <c r="M507" i="21" s="1"/>
  <c r="M506" i="21"/>
  <c r="J506" i="21"/>
  <c r="J505" i="21"/>
  <c r="M505" i="21" s="1"/>
  <c r="M504" i="21"/>
  <c r="J504" i="21"/>
  <c r="J503" i="21"/>
  <c r="M503" i="21" s="1"/>
  <c r="M502" i="21"/>
  <c r="J502" i="21"/>
  <c r="J501" i="21"/>
  <c r="M501" i="21" s="1"/>
  <c r="M500" i="21"/>
  <c r="J500" i="21"/>
  <c r="J499" i="21"/>
  <c r="M499" i="21" s="1"/>
  <c r="M498" i="21"/>
  <c r="J498" i="21"/>
  <c r="J497" i="21"/>
  <c r="M497" i="21" s="1"/>
  <c r="M496" i="21"/>
  <c r="J496" i="21"/>
  <c r="J495" i="21"/>
  <c r="M495" i="21" s="1"/>
  <c r="M494" i="21"/>
  <c r="J494" i="21"/>
  <c r="J493" i="21"/>
  <c r="M493" i="21" s="1"/>
  <c r="M492" i="21"/>
  <c r="J492" i="21"/>
  <c r="J491" i="21"/>
  <c r="M491" i="21" s="1"/>
  <c r="M490" i="21"/>
  <c r="J490" i="21"/>
  <c r="J489" i="21"/>
  <c r="M489" i="21" s="1"/>
  <c r="M488" i="21"/>
  <c r="J488" i="21"/>
  <c r="J487" i="21"/>
  <c r="M487" i="21" s="1"/>
  <c r="M486" i="21"/>
  <c r="J486" i="21"/>
  <c r="J485" i="21"/>
  <c r="M484" i="21"/>
  <c r="M483" i="21"/>
  <c r="M482" i="21"/>
  <c r="M481" i="21"/>
  <c r="M480" i="21"/>
  <c r="M479" i="21"/>
  <c r="M478" i="21"/>
  <c r="M477" i="21"/>
  <c r="M476" i="21"/>
  <c r="M475" i="21"/>
  <c r="M474" i="21"/>
  <c r="M473" i="21"/>
  <c r="M472" i="21"/>
  <c r="J472" i="21"/>
  <c r="J471" i="21"/>
  <c r="M471" i="21" s="1"/>
  <c r="M470" i="21"/>
  <c r="J470" i="21"/>
  <c r="J469" i="21"/>
  <c r="M469" i="21" s="1"/>
  <c r="M468" i="21"/>
  <c r="J468" i="21"/>
  <c r="J467" i="21"/>
  <c r="M467" i="21" s="1"/>
  <c r="M466" i="21"/>
  <c r="J466" i="21"/>
  <c r="M465" i="21"/>
  <c r="J465" i="21"/>
  <c r="M464" i="21"/>
  <c r="J464" i="21"/>
  <c r="J463" i="21"/>
  <c r="M463" i="21" s="1"/>
  <c r="J462" i="21"/>
  <c r="M462" i="21" s="1"/>
  <c r="J461" i="21"/>
  <c r="M461" i="21" s="1"/>
  <c r="J460" i="21"/>
  <c r="M460" i="21" s="1"/>
  <c r="J459" i="21"/>
  <c r="M459" i="21" s="1"/>
  <c r="J458" i="21"/>
  <c r="M458" i="21" s="1"/>
  <c r="J457" i="21"/>
  <c r="M457" i="21" s="1"/>
  <c r="J456" i="21"/>
  <c r="M456" i="21" s="1"/>
  <c r="J455" i="21"/>
  <c r="M455" i="21" s="1"/>
  <c r="J454" i="21"/>
  <c r="M454" i="21" s="1"/>
  <c r="J453" i="21"/>
  <c r="M453" i="21" s="1"/>
  <c r="J452" i="21"/>
  <c r="M452" i="21" s="1"/>
  <c r="J451" i="21"/>
  <c r="M451" i="21" s="1"/>
  <c r="J450" i="21"/>
  <c r="M450" i="21" s="1"/>
  <c r="J449" i="21"/>
  <c r="M449" i="21" s="1"/>
  <c r="J448" i="21"/>
  <c r="M448" i="21" s="1"/>
  <c r="J447" i="21"/>
  <c r="M447" i="21" s="1"/>
  <c r="J446" i="21"/>
  <c r="M446" i="21" s="1"/>
  <c r="J445" i="21"/>
  <c r="M445" i="21" s="1"/>
  <c r="J444" i="21"/>
  <c r="M444" i="21" s="1"/>
  <c r="J443" i="21"/>
  <c r="M443" i="21" s="1"/>
  <c r="J442" i="21"/>
  <c r="M442" i="21" s="1"/>
  <c r="J441" i="21"/>
  <c r="M441" i="21" s="1"/>
  <c r="J440" i="21"/>
  <c r="M440" i="21" s="1"/>
  <c r="J439" i="21"/>
  <c r="M439" i="21" s="1"/>
  <c r="J438" i="21"/>
  <c r="M438" i="21" s="1"/>
  <c r="J437" i="21"/>
  <c r="M437" i="21" s="1"/>
  <c r="J436" i="21"/>
  <c r="M436" i="21" s="1"/>
  <c r="J435" i="21"/>
  <c r="M435" i="21" s="1"/>
  <c r="J434" i="21"/>
  <c r="M434" i="21" s="1"/>
  <c r="J433" i="21"/>
  <c r="M433" i="21" s="1"/>
  <c r="J432" i="21"/>
  <c r="M432" i="21" s="1"/>
  <c r="J431" i="21"/>
  <c r="M431" i="21" s="1"/>
  <c r="J430" i="21"/>
  <c r="M430" i="21" s="1"/>
  <c r="J429" i="21"/>
  <c r="M429" i="21" s="1"/>
  <c r="J428" i="21"/>
  <c r="M428" i="21" s="1"/>
  <c r="J427" i="21"/>
  <c r="M427" i="21" s="1"/>
  <c r="J426" i="21"/>
  <c r="M426" i="21" s="1"/>
  <c r="M425" i="21"/>
  <c r="J425" i="21"/>
  <c r="J424" i="21"/>
  <c r="M424" i="21" s="1"/>
  <c r="J423" i="21"/>
  <c r="M423" i="21" s="1"/>
  <c r="J422" i="21"/>
  <c r="M422" i="21" s="1"/>
  <c r="M421" i="21"/>
  <c r="J421" i="21"/>
  <c r="J420" i="21"/>
  <c r="M420" i="21" s="1"/>
  <c r="J419" i="21"/>
  <c r="M419" i="21" s="1"/>
  <c r="J418" i="21"/>
  <c r="M418" i="21" s="1"/>
  <c r="J417" i="21"/>
  <c r="M417" i="21" s="1"/>
  <c r="J416" i="21"/>
  <c r="M416" i="21" s="1"/>
  <c r="J415" i="21"/>
  <c r="M415" i="21" s="1"/>
  <c r="J414" i="21"/>
  <c r="M414" i="21" s="1"/>
  <c r="J413" i="21"/>
  <c r="M413" i="21" s="1"/>
  <c r="J412" i="21"/>
  <c r="M412" i="21" s="1"/>
  <c r="J411" i="21"/>
  <c r="M411" i="21" s="1"/>
  <c r="J410" i="21"/>
  <c r="M410" i="21" s="1"/>
  <c r="M409" i="21"/>
  <c r="J409" i="21"/>
  <c r="J408" i="21"/>
  <c r="M408" i="21" s="1"/>
  <c r="J407" i="21"/>
  <c r="M407" i="21" s="1"/>
  <c r="J406" i="21"/>
  <c r="M406" i="21" s="1"/>
  <c r="M405" i="21"/>
  <c r="J405" i="21"/>
  <c r="J404" i="21"/>
  <c r="M404" i="21" s="1"/>
  <c r="J403" i="21"/>
  <c r="M403" i="21" s="1"/>
  <c r="J402" i="21"/>
  <c r="M402" i="21" s="1"/>
  <c r="J401" i="21"/>
  <c r="M401" i="21" s="1"/>
  <c r="J400" i="21"/>
  <c r="M400" i="21" s="1"/>
  <c r="M399" i="21"/>
  <c r="J399" i="21"/>
  <c r="J398" i="21"/>
  <c r="M398" i="21" s="1"/>
  <c r="M397" i="21"/>
  <c r="J397" i="21"/>
  <c r="J396" i="21"/>
  <c r="M396" i="21" s="1"/>
  <c r="J395" i="21"/>
  <c r="M395" i="21" s="1"/>
  <c r="J394" i="21"/>
  <c r="M394" i="21" s="1"/>
  <c r="J393" i="21"/>
  <c r="M393" i="21" s="1"/>
  <c r="J392" i="21"/>
  <c r="M392" i="21" s="1"/>
  <c r="J391" i="21"/>
  <c r="M391" i="21" s="1"/>
  <c r="M390" i="21"/>
  <c r="J390" i="21"/>
  <c r="J389" i="21"/>
  <c r="M389" i="21" s="1"/>
  <c r="M388" i="21"/>
  <c r="J388" i="21"/>
  <c r="J387" i="21"/>
  <c r="M387" i="21" s="1"/>
  <c r="J386" i="21"/>
  <c r="M386" i="21" s="1"/>
  <c r="M385" i="21"/>
  <c r="J385" i="21"/>
  <c r="J384" i="21"/>
  <c r="M384" i="21" s="1"/>
  <c r="M383" i="21"/>
  <c r="J383" i="21"/>
  <c r="J382" i="21"/>
  <c r="M382" i="21" s="1"/>
  <c r="M381" i="21"/>
  <c r="J381" i="21"/>
  <c r="J380" i="21"/>
  <c r="M380" i="21" s="1"/>
  <c r="J379" i="21"/>
  <c r="M379" i="21" s="1"/>
  <c r="J378" i="21"/>
  <c r="M378" i="21" s="1"/>
  <c r="M377" i="21"/>
  <c r="J377" i="21"/>
  <c r="J376" i="21"/>
  <c r="M376" i="21" s="1"/>
  <c r="M375" i="21"/>
  <c r="J375" i="21"/>
  <c r="J374" i="21"/>
  <c r="M374" i="21" s="1"/>
  <c r="M373" i="21"/>
  <c r="J373" i="21"/>
  <c r="J372" i="21"/>
  <c r="M372" i="21" s="1"/>
  <c r="J371" i="21"/>
  <c r="M371" i="21" s="1"/>
  <c r="J370" i="21"/>
  <c r="M370" i="21" s="1"/>
  <c r="M369" i="21"/>
  <c r="J369" i="21"/>
  <c r="J368" i="21"/>
  <c r="M368" i="21" s="1"/>
  <c r="M367" i="21"/>
  <c r="J367" i="21"/>
  <c r="J366" i="21"/>
  <c r="M366" i="21" s="1"/>
  <c r="M365" i="21"/>
  <c r="J365" i="21"/>
  <c r="J364" i="21"/>
  <c r="M364" i="21" s="1"/>
  <c r="J363" i="21"/>
  <c r="M363" i="21" s="1"/>
  <c r="J362" i="21"/>
  <c r="M362" i="21" s="1"/>
  <c r="M361" i="21"/>
  <c r="J361" i="21"/>
  <c r="J360" i="21"/>
  <c r="M360" i="21" s="1"/>
  <c r="J359" i="21"/>
  <c r="M359" i="21" s="1"/>
  <c r="J358" i="21"/>
  <c r="M358" i="21" s="1"/>
  <c r="M357" i="21"/>
  <c r="J357" i="21"/>
  <c r="J356" i="21"/>
  <c r="M356" i="21" s="1"/>
  <c r="J355" i="21"/>
  <c r="M355" i="21" s="1"/>
  <c r="J354" i="21"/>
  <c r="M354" i="21" s="1"/>
  <c r="M353" i="21"/>
  <c r="J353" i="21"/>
  <c r="J352" i="21"/>
  <c r="M352" i="21" s="1"/>
  <c r="J351" i="21"/>
  <c r="M351" i="21" s="1"/>
  <c r="J350" i="21"/>
  <c r="M350" i="21" s="1"/>
  <c r="M349" i="21"/>
  <c r="J349" i="21"/>
  <c r="M348" i="21"/>
  <c r="J348" i="21"/>
  <c r="M347" i="21"/>
  <c r="J347" i="21"/>
  <c r="J346" i="21"/>
  <c r="M346" i="21" s="1"/>
  <c r="J345" i="21"/>
  <c r="M345" i="21" s="1"/>
  <c r="J344" i="21"/>
  <c r="M344" i="21" s="1"/>
  <c r="J343" i="21"/>
  <c r="M343" i="21" s="1"/>
  <c r="J342" i="21"/>
  <c r="M342" i="21" s="1"/>
  <c r="M341" i="21"/>
  <c r="J341" i="21"/>
  <c r="M340" i="21"/>
  <c r="J340" i="21"/>
  <c r="M339" i="21"/>
  <c r="J339" i="21"/>
  <c r="J338" i="21"/>
  <c r="M338" i="21" s="1"/>
  <c r="J337" i="21"/>
  <c r="M337" i="21" s="1"/>
  <c r="J336" i="21"/>
  <c r="M336" i="21" s="1"/>
  <c r="J335" i="21"/>
  <c r="M335" i="21" s="1"/>
  <c r="J334" i="21"/>
  <c r="M334" i="21" s="1"/>
  <c r="M333" i="21"/>
  <c r="J333" i="21"/>
  <c r="M332" i="21"/>
  <c r="J332" i="21"/>
  <c r="M331" i="21"/>
  <c r="J331" i="2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M323" i="21"/>
  <c r="J323" i="2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M315" i="21"/>
  <c r="J315" i="2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M307" i="21"/>
  <c r="J307" i="2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M299" i="21"/>
  <c r="J299" i="2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M291" i="21"/>
  <c r="J291" i="2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M283" i="21"/>
  <c r="J283" i="2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M276" i="21"/>
  <c r="J276" i="21"/>
  <c r="J275" i="21"/>
  <c r="M275" i="21" s="1"/>
  <c r="M274" i="21"/>
  <c r="J274" i="2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M267" i="21"/>
  <c r="J267" i="21"/>
  <c r="J266" i="21"/>
  <c r="M266" i="21" s="1"/>
  <c r="M265" i="21"/>
  <c r="J265" i="21"/>
  <c r="J264" i="21"/>
  <c r="M264" i="21" s="1"/>
  <c r="M263" i="21"/>
  <c r="J263" i="21"/>
  <c r="J262" i="21"/>
  <c r="M262" i="21" s="1"/>
  <c r="M261" i="21"/>
  <c r="J261" i="21"/>
  <c r="J260" i="21"/>
  <c r="M260" i="21" s="1"/>
  <c r="M259" i="21"/>
  <c r="J259" i="21"/>
  <c r="J258" i="21"/>
  <c r="M258" i="21" s="1"/>
  <c r="M257" i="21"/>
  <c r="J257" i="21"/>
  <c r="J256" i="21"/>
  <c r="M256" i="21" s="1"/>
  <c r="M255" i="21"/>
  <c r="J255" i="21"/>
  <c r="J254" i="21"/>
  <c r="M254" i="21" s="1"/>
  <c r="M253" i="21"/>
  <c r="J253" i="21"/>
  <c r="J252" i="21"/>
  <c r="M252" i="21" s="1"/>
  <c r="M251" i="21"/>
  <c r="J251" i="21"/>
  <c r="J250" i="21"/>
  <c r="M250" i="21" s="1"/>
  <c r="M249" i="21"/>
  <c r="J249" i="21"/>
  <c r="M248" i="21"/>
  <c r="M247" i="21"/>
  <c r="M246" i="21"/>
  <c r="M244" i="21"/>
  <c r="M243" i="21"/>
  <c r="M242" i="21"/>
  <c r="M240" i="21"/>
  <c r="M239" i="21"/>
  <c r="M238" i="21"/>
  <c r="O236" i="21"/>
  <c r="N236" i="21"/>
  <c r="O235" i="21"/>
  <c r="O234" i="21"/>
  <c r="N234" i="21"/>
  <c r="O233" i="21"/>
  <c r="O232" i="21"/>
  <c r="N232" i="21"/>
  <c r="O231" i="21"/>
  <c r="O230" i="21"/>
  <c r="N230" i="21"/>
  <c r="O229" i="21"/>
  <c r="O228" i="21"/>
  <c r="N228" i="21"/>
  <c r="O227" i="21"/>
  <c r="O226" i="21"/>
  <c r="N226" i="21"/>
  <c r="O225" i="21"/>
  <c r="M224" i="21"/>
  <c r="M223" i="21"/>
  <c r="M222" i="21"/>
  <c r="M220" i="21"/>
  <c r="M219" i="21"/>
  <c r="M218" i="21"/>
  <c r="M216" i="21"/>
  <c r="M215" i="21"/>
  <c r="M214" i="21"/>
  <c r="M212" i="21"/>
  <c r="M211" i="21"/>
  <c r="M210" i="21"/>
  <c r="M208" i="21"/>
  <c r="M207" i="21"/>
  <c r="M206" i="21"/>
  <c r="M204" i="21"/>
  <c r="M203" i="21"/>
  <c r="M202" i="21"/>
  <c r="O200" i="21"/>
  <c r="N200" i="21"/>
  <c r="O199" i="21"/>
  <c r="O198" i="21"/>
  <c r="N198" i="21"/>
  <c r="O197" i="21"/>
  <c r="O196" i="21"/>
  <c r="N196" i="21"/>
  <c r="O195" i="21"/>
  <c r="O194" i="21"/>
  <c r="N194" i="21"/>
  <c r="O193" i="21"/>
  <c r="O192" i="21"/>
  <c r="N192" i="21"/>
  <c r="O191" i="21"/>
  <c r="O190" i="21"/>
  <c r="N190" i="21"/>
  <c r="O189" i="21"/>
  <c r="M188" i="21"/>
  <c r="M187" i="21"/>
  <c r="M186" i="21"/>
  <c r="M184" i="21"/>
  <c r="M183" i="21"/>
  <c r="M182" i="21"/>
  <c r="M180" i="21"/>
  <c r="M179" i="21"/>
  <c r="M178" i="21"/>
  <c r="M176" i="21"/>
  <c r="M175" i="21"/>
  <c r="M174" i="21"/>
  <c r="M172" i="21"/>
  <c r="M171" i="21"/>
  <c r="M170" i="21"/>
  <c r="M168" i="21"/>
  <c r="M167" i="21"/>
  <c r="M166" i="21"/>
  <c r="J164" i="21"/>
  <c r="M164" i="21" s="1"/>
  <c r="J163" i="21"/>
  <c r="M163" i="21" s="1"/>
  <c r="J162" i="21"/>
  <c r="M162" i="21" s="1"/>
  <c r="J161" i="21"/>
  <c r="M161" i="21" s="1"/>
  <c r="M160" i="21"/>
  <c r="J160" i="21"/>
  <c r="J159" i="21"/>
  <c r="M159" i="21" s="1"/>
  <c r="J158" i="21"/>
  <c r="M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N152" i="21"/>
  <c r="L152" i="21"/>
  <c r="O152" i="21" s="1"/>
  <c r="K152" i="21"/>
  <c r="O151" i="21"/>
  <c r="N151" i="21"/>
  <c r="L151" i="21"/>
  <c r="K151" i="21"/>
  <c r="N150" i="21"/>
  <c r="L150" i="21"/>
  <c r="O150" i="21" s="1"/>
  <c r="K150" i="21"/>
  <c r="N149" i="21"/>
  <c r="L149" i="21"/>
  <c r="O149" i="21" s="1"/>
  <c r="K149" i="21"/>
  <c r="L148" i="21"/>
  <c r="O148" i="21" s="1"/>
  <c r="K148" i="21"/>
  <c r="N148" i="21" s="1"/>
  <c r="L147" i="21"/>
  <c r="O147" i="21" s="1"/>
  <c r="K147" i="21"/>
  <c r="N147" i="21" s="1"/>
  <c r="L146" i="21"/>
  <c r="O146" i="21" s="1"/>
  <c r="K146" i="21"/>
  <c r="N146" i="21" s="1"/>
  <c r="O145" i="21"/>
  <c r="L145" i="21"/>
  <c r="K145" i="21"/>
  <c r="N145" i="21" s="1"/>
  <c r="N144" i="21"/>
  <c r="L144" i="21"/>
  <c r="O144" i="21" s="1"/>
  <c r="K144" i="21"/>
  <c r="O143" i="21"/>
  <c r="N143" i="21"/>
  <c r="L143" i="21"/>
  <c r="K143" i="21"/>
  <c r="N142" i="21"/>
  <c r="L142" i="21"/>
  <c r="O142" i="21" s="1"/>
  <c r="K142" i="21"/>
  <c r="N141" i="21"/>
  <c r="L141" i="21"/>
  <c r="O141" i="21" s="1"/>
  <c r="K141" i="21"/>
  <c r="J140" i="21"/>
  <c r="M140" i="21" s="1"/>
  <c r="J139" i="21"/>
  <c r="M139" i="21" s="1"/>
  <c r="J138" i="21"/>
  <c r="M138" i="21" s="1"/>
  <c r="J137" i="21"/>
  <c r="M137" i="21" s="1"/>
  <c r="M136" i="21"/>
  <c r="J136" i="21"/>
  <c r="J135" i="21"/>
  <c r="M135" i="21" s="1"/>
  <c r="J134" i="21"/>
  <c r="M134" i="21" s="1"/>
  <c r="J133" i="21"/>
  <c r="M133" i="21" s="1"/>
  <c r="J132" i="21"/>
  <c r="M132" i="21" s="1"/>
  <c r="J131" i="21"/>
  <c r="M131" i="21" s="1"/>
  <c r="J130" i="21"/>
  <c r="M130" i="21" s="1"/>
  <c r="J129" i="21"/>
  <c r="M129" i="21" s="1"/>
  <c r="M128" i="21"/>
  <c r="L128" i="21"/>
  <c r="O128" i="21" s="1"/>
  <c r="J128" i="21"/>
  <c r="L127" i="21"/>
  <c r="O127" i="21" s="1"/>
  <c r="J127" i="21"/>
  <c r="M127" i="21" s="1"/>
  <c r="L126" i="21"/>
  <c r="O126" i="21" s="1"/>
  <c r="J126" i="21"/>
  <c r="M126" i="21" s="1"/>
  <c r="L125" i="21"/>
  <c r="O125" i="21" s="1"/>
  <c r="J125" i="21"/>
  <c r="M125" i="21" s="1"/>
  <c r="M124" i="21"/>
  <c r="L124" i="21"/>
  <c r="O124" i="21" s="1"/>
  <c r="J124" i="21"/>
  <c r="L123" i="21"/>
  <c r="O123" i="21" s="1"/>
  <c r="J123" i="21"/>
  <c r="M123" i="21" s="1"/>
  <c r="L122" i="21"/>
  <c r="O122" i="21" s="1"/>
  <c r="J122" i="21"/>
  <c r="M122" i="21" s="1"/>
  <c r="L121" i="21"/>
  <c r="O121" i="21" s="1"/>
  <c r="J121" i="21"/>
  <c r="M121" i="21" s="1"/>
  <c r="M120" i="21"/>
  <c r="L120" i="21"/>
  <c r="O120" i="21" s="1"/>
  <c r="J120" i="21"/>
  <c r="L119" i="21"/>
  <c r="O119" i="21" s="1"/>
  <c r="J119" i="21"/>
  <c r="M119" i="21" s="1"/>
  <c r="L118" i="21"/>
  <c r="O118" i="21" s="1"/>
  <c r="J118" i="21"/>
  <c r="M118" i="21" s="1"/>
  <c r="L117" i="21"/>
  <c r="O117" i="21" s="1"/>
  <c r="J117" i="21"/>
  <c r="M117" i="21" s="1"/>
  <c r="N116" i="21"/>
  <c r="L116" i="21"/>
  <c r="O116" i="21" s="1"/>
  <c r="K116" i="21"/>
  <c r="O115" i="21"/>
  <c r="N115" i="21"/>
  <c r="L115" i="21"/>
  <c r="K115" i="21"/>
  <c r="N114" i="21"/>
  <c r="L114" i="21"/>
  <c r="O114" i="21" s="1"/>
  <c r="K114" i="21"/>
  <c r="L113" i="21"/>
  <c r="O113" i="21" s="1"/>
  <c r="K113" i="21"/>
  <c r="N113" i="21" s="1"/>
  <c r="L112" i="21"/>
  <c r="O112" i="21" s="1"/>
  <c r="K112" i="21"/>
  <c r="N112" i="21" s="1"/>
  <c r="O111" i="21"/>
  <c r="L111" i="21"/>
  <c r="K111" i="21"/>
  <c r="N111" i="21" s="1"/>
  <c r="N110" i="21"/>
  <c r="L110" i="21"/>
  <c r="O110" i="21" s="1"/>
  <c r="K110" i="21"/>
  <c r="N109" i="21"/>
  <c r="L109" i="21"/>
  <c r="O109" i="21" s="1"/>
  <c r="K109" i="21"/>
  <c r="L108" i="21"/>
  <c r="O108" i="21" s="1"/>
  <c r="K108" i="21"/>
  <c r="N108" i="21" s="1"/>
  <c r="L107" i="21"/>
  <c r="O107" i="21" s="1"/>
  <c r="K107" i="21"/>
  <c r="N107" i="21" s="1"/>
  <c r="L106" i="21"/>
  <c r="O106" i="21" s="1"/>
  <c r="K106" i="21"/>
  <c r="N106" i="21" s="1"/>
  <c r="O105" i="21"/>
  <c r="L105" i="21"/>
  <c r="K105" i="21"/>
  <c r="N105" i="21" s="1"/>
  <c r="M104" i="21"/>
  <c r="L104" i="21"/>
  <c r="O104" i="21" s="1"/>
  <c r="J104" i="21"/>
  <c r="L103" i="21"/>
  <c r="O103" i="21" s="1"/>
  <c r="J103" i="21"/>
  <c r="M103" i="21" s="1"/>
  <c r="L102" i="21"/>
  <c r="O102" i="21" s="1"/>
  <c r="J102" i="21"/>
  <c r="M102" i="21" s="1"/>
  <c r="O101" i="21"/>
  <c r="L101" i="21"/>
  <c r="J101" i="21"/>
  <c r="M101" i="21" s="1"/>
  <c r="M100" i="21"/>
  <c r="L100" i="21"/>
  <c r="O100" i="21" s="1"/>
  <c r="J100" i="21"/>
  <c r="L99" i="21"/>
  <c r="O99" i="21" s="1"/>
  <c r="J99" i="21"/>
  <c r="M99" i="21" s="1"/>
  <c r="L98" i="21"/>
  <c r="O98" i="21" s="1"/>
  <c r="J98" i="21"/>
  <c r="M98" i="21" s="1"/>
  <c r="O97" i="21"/>
  <c r="L97" i="21"/>
  <c r="J97" i="21"/>
  <c r="M97" i="21" s="1"/>
  <c r="M96" i="21"/>
  <c r="L96" i="21"/>
  <c r="O96" i="21" s="1"/>
  <c r="J96" i="21"/>
  <c r="L95" i="21"/>
  <c r="O95" i="21" s="1"/>
  <c r="J95" i="21"/>
  <c r="M95" i="21" s="1"/>
  <c r="L94" i="21"/>
  <c r="O94" i="21" s="1"/>
  <c r="J94" i="21"/>
  <c r="M94" i="21" s="1"/>
  <c r="O93" i="21"/>
  <c r="L93" i="21"/>
  <c r="J93" i="21"/>
  <c r="M93" i="21" s="1"/>
  <c r="J92" i="21"/>
  <c r="M92" i="21" s="1"/>
  <c r="J91" i="21"/>
  <c r="M91" i="21" s="1"/>
  <c r="J90" i="21"/>
  <c r="M90" i="21" s="1"/>
  <c r="J89" i="21"/>
  <c r="M89" i="21" s="1"/>
  <c r="M88" i="21"/>
  <c r="J88" i="21"/>
  <c r="J87" i="21"/>
  <c r="M87" i="21" s="1"/>
  <c r="J86" i="21"/>
  <c r="M86" i="21" s="1"/>
  <c r="J85" i="21"/>
  <c r="M85" i="21" s="1"/>
  <c r="J84" i="21"/>
  <c r="M84" i="21" s="1"/>
  <c r="J83" i="21"/>
  <c r="M83" i="21" s="1"/>
  <c r="J82" i="21"/>
  <c r="M82" i="21" s="1"/>
  <c r="J81" i="21"/>
  <c r="M81" i="21" s="1"/>
  <c r="J80" i="21"/>
  <c r="M80" i="21" s="1"/>
  <c r="J79" i="21"/>
  <c r="M79" i="21" s="1"/>
  <c r="J78" i="21"/>
  <c r="M78" i="21" s="1"/>
  <c r="L77" i="21"/>
  <c r="O77" i="21" s="1"/>
  <c r="K77" i="21"/>
  <c r="N77" i="21" s="1"/>
  <c r="L76" i="21"/>
  <c r="O76" i="21" s="1"/>
  <c r="K76" i="21"/>
  <c r="N76" i="21" s="1"/>
  <c r="L75" i="21"/>
  <c r="O75" i="21" s="1"/>
  <c r="K75" i="21"/>
  <c r="N75" i="21" s="1"/>
  <c r="N74" i="21"/>
  <c r="L74" i="21"/>
  <c r="O74" i="21" s="1"/>
  <c r="K74" i="21"/>
  <c r="L73" i="21"/>
  <c r="O73" i="21" s="1"/>
  <c r="K73" i="21"/>
  <c r="N73" i="21" s="1"/>
  <c r="N72" i="21"/>
  <c r="L72" i="21"/>
  <c r="O72" i="21" s="1"/>
  <c r="K72" i="21"/>
  <c r="N71" i="21"/>
  <c r="L71" i="21"/>
  <c r="O71" i="21" s="1"/>
  <c r="K71" i="21"/>
  <c r="L70" i="21"/>
  <c r="O70" i="21" s="1"/>
  <c r="K70" i="21"/>
  <c r="N70" i="21" s="1"/>
  <c r="L69" i="21"/>
  <c r="O69" i="21" s="1"/>
  <c r="K69" i="21"/>
  <c r="N69" i="21" s="1"/>
  <c r="N68" i="21"/>
  <c r="L68" i="21"/>
  <c r="O68" i="21" s="1"/>
  <c r="K68" i="21"/>
  <c r="N67" i="21"/>
  <c r="L67" i="21"/>
  <c r="O67" i="21" s="1"/>
  <c r="K67" i="21"/>
  <c r="L66" i="21"/>
  <c r="O66" i="21" s="1"/>
  <c r="K66" i="21"/>
  <c r="N66" i="21" s="1"/>
  <c r="L65" i="21"/>
  <c r="O65" i="21" s="1"/>
  <c r="K65" i="21"/>
  <c r="N65" i="21" s="1"/>
  <c r="N64" i="21"/>
  <c r="L64" i="21"/>
  <c r="O64" i="21" s="1"/>
  <c r="K64" i="21"/>
  <c r="N63" i="21"/>
  <c r="L63" i="21"/>
  <c r="O63" i="21" s="1"/>
  <c r="K63" i="21"/>
  <c r="L62" i="21"/>
  <c r="O62" i="21" s="1"/>
  <c r="K62" i="21"/>
  <c r="N62" i="21" s="1"/>
  <c r="L61" i="21"/>
  <c r="O61" i="21" s="1"/>
  <c r="K61" i="21"/>
  <c r="N61" i="21" s="1"/>
  <c r="N60" i="21"/>
  <c r="L60" i="21"/>
  <c r="O60" i="21" s="1"/>
  <c r="K60" i="21"/>
  <c r="N59" i="21"/>
  <c r="L59" i="21"/>
  <c r="O59" i="21" s="1"/>
  <c r="K59" i="21"/>
  <c r="L58" i="21"/>
  <c r="O58" i="21" s="1"/>
  <c r="K58" i="21"/>
  <c r="N58" i="21" s="1"/>
  <c r="L57" i="21"/>
  <c r="O57" i="21" s="1"/>
  <c r="K57" i="21"/>
  <c r="N57" i="21" s="1"/>
  <c r="N56" i="21"/>
  <c r="L56" i="21"/>
  <c r="O56" i="21" s="1"/>
  <c r="K56" i="21"/>
  <c r="N55" i="21"/>
  <c r="L55" i="21"/>
  <c r="O55" i="21" s="1"/>
  <c r="K55" i="21"/>
  <c r="L54" i="21"/>
  <c r="O54" i="21" s="1"/>
  <c r="K54" i="21"/>
  <c r="N54" i="21" s="1"/>
  <c r="L53" i="21"/>
  <c r="O53" i="21" s="1"/>
  <c r="K53" i="21"/>
  <c r="N53" i="21" s="1"/>
  <c r="J52" i="21"/>
  <c r="M52" i="21" s="1"/>
  <c r="J51" i="21"/>
  <c r="M51" i="21" s="1"/>
  <c r="J50" i="21"/>
  <c r="M50" i="21" s="1"/>
  <c r="J49" i="21"/>
  <c r="M49" i="21" s="1"/>
  <c r="J48" i="21"/>
  <c r="M48" i="21" s="1"/>
  <c r="J47" i="21"/>
  <c r="M47" i="21" s="1"/>
  <c r="J46" i="21"/>
  <c r="M46" i="21" s="1"/>
  <c r="J45" i="21"/>
  <c r="M45" i="21" s="1"/>
  <c r="J44" i="21"/>
  <c r="M44" i="21" s="1"/>
  <c r="J43" i="21"/>
  <c r="M43" i="21" s="1"/>
  <c r="J42" i="21"/>
  <c r="M42" i="21" s="1"/>
  <c r="J41" i="21"/>
  <c r="M41" i="21" s="1"/>
  <c r="J40" i="21"/>
  <c r="M40" i="21" s="1"/>
  <c r="J39" i="21"/>
  <c r="M39" i="21" s="1"/>
  <c r="J38" i="21"/>
  <c r="M38" i="21" s="1"/>
  <c r="L37" i="21"/>
  <c r="O37" i="21" s="1"/>
  <c r="L36" i="21"/>
  <c r="O36" i="21" s="1"/>
  <c r="L35" i="21"/>
  <c r="O35" i="21" s="1"/>
  <c r="L34" i="21"/>
  <c r="O34" i="21" s="1"/>
  <c r="L33" i="21"/>
  <c r="O33" i="21" s="1"/>
  <c r="L32" i="21"/>
  <c r="O32" i="21" s="1"/>
  <c r="L31" i="21"/>
  <c r="O31" i="21" s="1"/>
  <c r="L30" i="21"/>
  <c r="O30" i="21" s="1"/>
  <c r="L29" i="21"/>
  <c r="O29" i="21" s="1"/>
  <c r="L28" i="21"/>
  <c r="O28" i="21" s="1"/>
  <c r="L27" i="21"/>
  <c r="O27" i="21" s="1"/>
  <c r="L26" i="21"/>
  <c r="O26" i="21" s="1"/>
  <c r="L25" i="21"/>
  <c r="O25" i="21" s="1"/>
  <c r="J25" i="21"/>
  <c r="M25" i="21" s="1"/>
  <c r="L24" i="21"/>
  <c r="O24" i="21" s="1"/>
  <c r="J24" i="21"/>
  <c r="M24" i="21" s="1"/>
  <c r="L23" i="21"/>
  <c r="O23" i="21" s="1"/>
  <c r="J23" i="21"/>
  <c r="M23" i="21" s="1"/>
  <c r="L22" i="21"/>
  <c r="O22" i="21" s="1"/>
  <c r="J22" i="21"/>
  <c r="M22" i="21" s="1"/>
  <c r="L21" i="21"/>
  <c r="O21" i="21" s="1"/>
  <c r="J21" i="21"/>
  <c r="M21" i="21" s="1"/>
  <c r="L20" i="21"/>
  <c r="O20" i="21" s="1"/>
  <c r="J20" i="21"/>
  <c r="M20" i="21" s="1"/>
  <c r="L19" i="21"/>
  <c r="O19" i="21" s="1"/>
  <c r="J19" i="21"/>
  <c r="M19" i="21" s="1"/>
  <c r="L18" i="21"/>
  <c r="O18" i="21" s="1"/>
  <c r="J18" i="21"/>
  <c r="M18" i="21" s="1"/>
  <c r="L17" i="21"/>
  <c r="O17" i="21" s="1"/>
  <c r="J17" i="21"/>
  <c r="M17" i="21" s="1"/>
  <c r="L16" i="21"/>
  <c r="O16" i="21" s="1"/>
  <c r="J16" i="21"/>
  <c r="M16" i="21" s="1"/>
  <c r="L15" i="21"/>
  <c r="O15" i="21" s="1"/>
  <c r="J15" i="21"/>
  <c r="M15" i="21" s="1"/>
  <c r="L14" i="21"/>
  <c r="O14" i="21" s="1"/>
  <c r="J14" i="21"/>
  <c r="M14" i="21" s="1"/>
  <c r="L13" i="21"/>
  <c r="O13" i="21" s="1"/>
  <c r="L12" i="21"/>
  <c r="O12" i="21" s="1"/>
  <c r="L11" i="21"/>
  <c r="O11" i="21" s="1"/>
  <c r="L10" i="21"/>
  <c r="O10" i="21" s="1"/>
  <c r="L9" i="21"/>
  <c r="O9" i="21" s="1"/>
  <c r="L8" i="21"/>
  <c r="O8" i="21" s="1"/>
  <c r="L7" i="21"/>
  <c r="O7" i="21" s="1"/>
  <c r="L6" i="21"/>
  <c r="O6" i="21" s="1"/>
  <c r="L5" i="21"/>
  <c r="O5" i="21" s="1"/>
  <c r="L4" i="21"/>
  <c r="O4" i="21" s="1"/>
  <c r="L3" i="21"/>
  <c r="O3" i="21" s="1"/>
  <c r="L2" i="21"/>
  <c r="X484" i="16"/>
  <c r="W484" i="16"/>
  <c r="X483" i="16"/>
  <c r="W483" i="16"/>
  <c r="X482" i="16"/>
  <c r="W482" i="16"/>
  <c r="X481" i="16"/>
  <c r="W481" i="16"/>
  <c r="X480" i="16"/>
  <c r="W480" i="16"/>
  <c r="X479" i="16"/>
  <c r="W479" i="16"/>
  <c r="X478" i="16"/>
  <c r="W478" i="16"/>
  <c r="X477" i="16"/>
  <c r="W477" i="16"/>
  <c r="X476" i="16"/>
  <c r="W476" i="16"/>
  <c r="X475" i="16"/>
  <c r="W475" i="16"/>
  <c r="X474" i="16"/>
  <c r="W474" i="16"/>
  <c r="X473" i="16"/>
  <c r="W473" i="16"/>
  <c r="AD277" i="17"/>
  <c r="AB277" i="17"/>
  <c r="X277" i="17"/>
  <c r="W277" i="17"/>
  <c r="AD276" i="17"/>
  <c r="AB276" i="17"/>
  <c r="X276" i="17"/>
  <c r="W276" i="17"/>
  <c r="AD275" i="17"/>
  <c r="X275" i="17"/>
  <c r="W275" i="17"/>
  <c r="AD274" i="17"/>
  <c r="AB274" i="17"/>
  <c r="X274" i="17"/>
  <c r="W274" i="17"/>
  <c r="AD273" i="17"/>
  <c r="AB273" i="17"/>
  <c r="X273" i="17"/>
  <c r="W273" i="17"/>
  <c r="AD272" i="17"/>
  <c r="AB272" i="17"/>
  <c r="X272" i="17"/>
  <c r="W272" i="17"/>
  <c r="AD271" i="17"/>
  <c r="X271" i="17"/>
  <c r="W271" i="17"/>
  <c r="AD270" i="17"/>
  <c r="AB270" i="17"/>
  <c r="X270" i="17"/>
  <c r="W270" i="17"/>
  <c r="AD269" i="17"/>
  <c r="AB269" i="17"/>
  <c r="X269" i="17"/>
  <c r="W269" i="17"/>
  <c r="AD268" i="17"/>
  <c r="AB268" i="17"/>
  <c r="X268" i="17"/>
  <c r="W268" i="17"/>
  <c r="AD267" i="17"/>
  <c r="X267" i="17"/>
  <c r="W267" i="17"/>
  <c r="AD266" i="17"/>
  <c r="AB266" i="17"/>
  <c r="X266" i="17"/>
  <c r="W266" i="17"/>
  <c r="X248" i="16"/>
  <c r="W248" i="16"/>
  <c r="X247" i="16"/>
  <c r="W247" i="16"/>
  <c r="X246" i="16"/>
  <c r="W246" i="16"/>
  <c r="X245" i="16"/>
  <c r="W245" i="16"/>
  <c r="X244" i="16"/>
  <c r="W244" i="16"/>
  <c r="X243" i="16"/>
  <c r="W243" i="16"/>
  <c r="X242" i="16"/>
  <c r="W242" i="16"/>
  <c r="X241" i="16"/>
  <c r="W241" i="16"/>
  <c r="X240" i="16"/>
  <c r="W240" i="16"/>
  <c r="X239" i="16"/>
  <c r="W239" i="16"/>
  <c r="X238" i="16"/>
  <c r="W238" i="16"/>
  <c r="X237" i="16"/>
  <c r="W237" i="16"/>
  <c r="V236" i="16"/>
  <c r="V235" i="16"/>
  <c r="V234" i="16"/>
  <c r="V233" i="16"/>
  <c r="V232" i="16"/>
  <c r="V231" i="16"/>
  <c r="V230" i="16"/>
  <c r="V229" i="16"/>
  <c r="V228" i="16"/>
  <c r="V227" i="16"/>
  <c r="V226" i="16"/>
  <c r="V225" i="16"/>
  <c r="X224" i="16"/>
  <c r="W224" i="16"/>
  <c r="X223" i="16"/>
  <c r="W223" i="16"/>
  <c r="X222" i="16"/>
  <c r="W222" i="16"/>
  <c r="X221" i="16"/>
  <c r="W221" i="16"/>
  <c r="X220" i="16"/>
  <c r="W220" i="16"/>
  <c r="X219" i="16"/>
  <c r="W219" i="16"/>
  <c r="X218" i="16"/>
  <c r="W218" i="16"/>
  <c r="X217" i="16"/>
  <c r="W217" i="16"/>
  <c r="X216" i="16"/>
  <c r="W216" i="16"/>
  <c r="X215" i="16"/>
  <c r="W215" i="16"/>
  <c r="X214" i="16"/>
  <c r="W214" i="16"/>
  <c r="X213" i="16"/>
  <c r="W213" i="16"/>
  <c r="X212" i="16"/>
  <c r="W212" i="16"/>
  <c r="X211" i="16"/>
  <c r="W211" i="16"/>
  <c r="X210" i="16"/>
  <c r="W210" i="16"/>
  <c r="X209" i="16"/>
  <c r="W209" i="16"/>
  <c r="X208" i="16"/>
  <c r="W208" i="16"/>
  <c r="X207" i="16"/>
  <c r="W207" i="16"/>
  <c r="X206" i="16"/>
  <c r="W206" i="16"/>
  <c r="X205" i="16"/>
  <c r="W205" i="16"/>
  <c r="X204" i="16"/>
  <c r="W204" i="16"/>
  <c r="X203" i="16"/>
  <c r="W203" i="16"/>
  <c r="X202" i="16"/>
  <c r="W202" i="16"/>
  <c r="X201" i="16"/>
  <c r="W201" i="16"/>
  <c r="V200" i="16"/>
  <c r="V199" i="16"/>
  <c r="V198" i="16"/>
  <c r="V197" i="16"/>
  <c r="V196" i="16"/>
  <c r="V195" i="16"/>
  <c r="V194" i="16"/>
  <c r="V193" i="16"/>
  <c r="V192" i="16"/>
  <c r="V191" i="16"/>
  <c r="V190" i="16"/>
  <c r="V189" i="16"/>
  <c r="X188" i="16"/>
  <c r="W188" i="16"/>
  <c r="X187" i="16"/>
  <c r="W187" i="16"/>
  <c r="X186" i="16"/>
  <c r="W186" i="16"/>
  <c r="X185" i="16"/>
  <c r="W185" i="16"/>
  <c r="X184" i="16"/>
  <c r="W184" i="16"/>
  <c r="X183" i="16"/>
  <c r="W183" i="16"/>
  <c r="X182" i="16"/>
  <c r="W182" i="16"/>
  <c r="X181" i="16"/>
  <c r="W181" i="16"/>
  <c r="X180" i="16"/>
  <c r="W180" i="16"/>
  <c r="X179" i="16"/>
  <c r="W179" i="16"/>
  <c r="X178" i="16"/>
  <c r="W178" i="16"/>
  <c r="X177" i="16"/>
  <c r="W177" i="16"/>
  <c r="AD157" i="17"/>
  <c r="X157" i="17"/>
  <c r="W157" i="17"/>
  <c r="AD156" i="17"/>
  <c r="AB156" i="17"/>
  <c r="X156" i="17"/>
  <c r="W156" i="17"/>
  <c r="AC156" i="17" s="1"/>
  <c r="AD155" i="17"/>
  <c r="X155" i="17"/>
  <c r="W155" i="17"/>
  <c r="AC155" i="17" s="1"/>
  <c r="AD154" i="17"/>
  <c r="AB154" i="17"/>
  <c r="X154" i="17"/>
  <c r="W154" i="17"/>
  <c r="AC154" i="17" s="1"/>
  <c r="AD153" i="17"/>
  <c r="X153" i="17"/>
  <c r="W153" i="17"/>
  <c r="AC153" i="17" s="1"/>
  <c r="AD152" i="17"/>
  <c r="AB152" i="17"/>
  <c r="X152" i="17"/>
  <c r="W152" i="17"/>
  <c r="AC152" i="17" s="1"/>
  <c r="AD151" i="17"/>
  <c r="X151" i="17"/>
  <c r="W151" i="17"/>
  <c r="AC151" i="17" s="1"/>
  <c r="AD150" i="17"/>
  <c r="AB150" i="17"/>
  <c r="X150" i="17"/>
  <c r="W150" i="17"/>
  <c r="AC150" i="17" s="1"/>
  <c r="AD149" i="17"/>
  <c r="X149" i="17"/>
  <c r="W149" i="17"/>
  <c r="AC149" i="17" s="1"/>
  <c r="AD148" i="17"/>
  <c r="AB148" i="17"/>
  <c r="X148" i="17"/>
  <c r="W148" i="17"/>
  <c r="AC148" i="17" s="1"/>
  <c r="AD147" i="17"/>
  <c r="X147" i="17"/>
  <c r="W147" i="17"/>
  <c r="AC147" i="17" s="1"/>
  <c r="AD146" i="17"/>
  <c r="AB146" i="17"/>
  <c r="X146" i="17"/>
  <c r="W146" i="17"/>
  <c r="AC146" i="17" s="1"/>
  <c r="AE145" i="17"/>
  <c r="V145" i="17"/>
  <c r="AB145" i="17" s="1"/>
  <c r="AE144" i="17"/>
  <c r="V144" i="17"/>
  <c r="AB144" i="17" s="1"/>
  <c r="AE143" i="17"/>
  <c r="V143" i="17"/>
  <c r="AB143" i="17" s="1"/>
  <c r="AE142" i="17"/>
  <c r="V142" i="17"/>
  <c r="AB142" i="17" s="1"/>
  <c r="AE141" i="17"/>
  <c r="AC141" i="17"/>
  <c r="V141" i="17"/>
  <c r="AB141" i="17" s="1"/>
  <c r="AE140" i="17"/>
  <c r="V140" i="17"/>
  <c r="AB140" i="17" s="1"/>
  <c r="AE139" i="17"/>
  <c r="V139" i="17"/>
  <c r="AB139" i="17" s="1"/>
  <c r="AE138" i="17"/>
  <c r="V138" i="17"/>
  <c r="AB138" i="17" s="1"/>
  <c r="AE137" i="17"/>
  <c r="V137" i="17"/>
  <c r="AB137" i="17" s="1"/>
  <c r="AE136" i="17"/>
  <c r="V136" i="17"/>
  <c r="AB136" i="17" s="1"/>
  <c r="AE135" i="17"/>
  <c r="V135" i="17"/>
  <c r="AB135" i="17" s="1"/>
  <c r="AE134" i="17"/>
  <c r="V134" i="17"/>
  <c r="AB134" i="17" s="1"/>
  <c r="AD133" i="17"/>
  <c r="X133" i="17"/>
  <c r="W133" i="17"/>
  <c r="AC133" i="17" s="1"/>
  <c r="AD132" i="17"/>
  <c r="AB132" i="17"/>
  <c r="X132" i="17"/>
  <c r="W132" i="17"/>
  <c r="AC132" i="17" s="1"/>
  <c r="AD131" i="17"/>
  <c r="X131" i="17"/>
  <c r="W131" i="17"/>
  <c r="AC131" i="17" s="1"/>
  <c r="AD130" i="17"/>
  <c r="AB130" i="17"/>
  <c r="X130" i="17"/>
  <c r="W130" i="17"/>
  <c r="AC130" i="17" s="1"/>
  <c r="AD129" i="17"/>
  <c r="X129" i="17"/>
  <c r="W129" i="17"/>
  <c r="AC129" i="17" s="1"/>
  <c r="AD128" i="17"/>
  <c r="AB128" i="17"/>
  <c r="X128" i="17"/>
  <c r="W128" i="17"/>
  <c r="AC128" i="17" s="1"/>
  <c r="AD127" i="17"/>
  <c r="X127" i="17"/>
  <c r="W127" i="17"/>
  <c r="AC127" i="17" s="1"/>
  <c r="AD126" i="17"/>
  <c r="AB126" i="17"/>
  <c r="X126" i="17"/>
  <c r="W126" i="17"/>
  <c r="AC126" i="17" s="1"/>
  <c r="AD125" i="17"/>
  <c r="X125" i="17"/>
  <c r="W125" i="17"/>
  <c r="AC125" i="17" s="1"/>
  <c r="AD124" i="17"/>
  <c r="AB124" i="17"/>
  <c r="X124" i="17"/>
  <c r="W124" i="17"/>
  <c r="AC124" i="17" s="1"/>
  <c r="AD123" i="17"/>
  <c r="X123" i="17"/>
  <c r="W123" i="17"/>
  <c r="AC123" i="17" s="1"/>
  <c r="AD122" i="17"/>
  <c r="AB122" i="17"/>
  <c r="X122" i="17"/>
  <c r="W122" i="17"/>
  <c r="AC122" i="17" s="1"/>
  <c r="AD121" i="17"/>
  <c r="X121" i="17"/>
  <c r="W121" i="17"/>
  <c r="AC121" i="17" s="1"/>
  <c r="AD120" i="17"/>
  <c r="AB120" i="17"/>
  <c r="X120" i="17"/>
  <c r="W120" i="17"/>
  <c r="AC120" i="17" s="1"/>
  <c r="AD119" i="17"/>
  <c r="X119" i="17"/>
  <c r="W119" i="17"/>
  <c r="AC119" i="17" s="1"/>
  <c r="AD118" i="17"/>
  <c r="AB118" i="17"/>
  <c r="X118" i="17"/>
  <c r="W118" i="17"/>
  <c r="AC118" i="17" s="1"/>
  <c r="AD117" i="17"/>
  <c r="X117" i="17"/>
  <c r="W117" i="17"/>
  <c r="AC117" i="17" s="1"/>
  <c r="AD116" i="17"/>
  <c r="AB116" i="17"/>
  <c r="X116" i="17"/>
  <c r="W116" i="17"/>
  <c r="AC116" i="17" s="1"/>
  <c r="AD115" i="17"/>
  <c r="X115" i="17"/>
  <c r="W115" i="17"/>
  <c r="AC115" i="17" s="1"/>
  <c r="AD114" i="17"/>
  <c r="AB114" i="17"/>
  <c r="X114" i="17"/>
  <c r="W114" i="17"/>
  <c r="AC114" i="17" s="1"/>
  <c r="AD113" i="17"/>
  <c r="X113" i="17"/>
  <c r="W113" i="17"/>
  <c r="AC113" i="17" s="1"/>
  <c r="AD112" i="17"/>
  <c r="AB112" i="17"/>
  <c r="X112" i="17"/>
  <c r="W112" i="17"/>
  <c r="AC112" i="17" s="1"/>
  <c r="AD111" i="17"/>
  <c r="X111" i="17"/>
  <c r="W111" i="17"/>
  <c r="AC111" i="17" s="1"/>
  <c r="AD110" i="17"/>
  <c r="AB110" i="17"/>
  <c r="X110" i="17"/>
  <c r="W110" i="17"/>
  <c r="AC110" i="17" s="1"/>
  <c r="AE109" i="17"/>
  <c r="V109" i="17"/>
  <c r="AB109" i="17" s="1"/>
  <c r="AE108" i="17"/>
  <c r="V108" i="17"/>
  <c r="AB108" i="17" s="1"/>
  <c r="AE107" i="17"/>
  <c r="V107" i="17"/>
  <c r="AB107" i="17" s="1"/>
  <c r="AE106" i="17"/>
  <c r="AB106" i="17"/>
  <c r="V106" i="17"/>
  <c r="AE105" i="17"/>
  <c r="V105" i="17"/>
  <c r="AB105" i="17" s="1"/>
  <c r="AE104" i="17"/>
  <c r="V104" i="17"/>
  <c r="AB104" i="17" s="1"/>
  <c r="AE103" i="17"/>
  <c r="V103" i="17"/>
  <c r="AB103" i="17" s="1"/>
  <c r="AE102" i="17"/>
  <c r="AB102" i="17"/>
  <c r="V102" i="17"/>
  <c r="AE101" i="17"/>
  <c r="V101" i="17"/>
  <c r="AB101" i="17" s="1"/>
  <c r="AE100" i="17"/>
  <c r="V100" i="17"/>
  <c r="AB100" i="17" s="1"/>
  <c r="AE99" i="17"/>
  <c r="V99" i="17"/>
  <c r="AB99" i="17" s="1"/>
  <c r="AE98" i="17"/>
  <c r="V98" i="17"/>
  <c r="AB98" i="17" s="1"/>
  <c r="AD97" i="17"/>
  <c r="X97" i="17"/>
  <c r="W97" i="17"/>
  <c r="AC97" i="17" s="1"/>
  <c r="AD96" i="17"/>
  <c r="AB96" i="17"/>
  <c r="X96" i="17"/>
  <c r="W96" i="17"/>
  <c r="AC96" i="17" s="1"/>
  <c r="AD95" i="17"/>
  <c r="X95" i="17"/>
  <c r="W95" i="17"/>
  <c r="AC95" i="17" s="1"/>
  <c r="AD94" i="17"/>
  <c r="AB94" i="17"/>
  <c r="X94" i="17"/>
  <c r="W94" i="17"/>
  <c r="AC94" i="17" s="1"/>
  <c r="AD93" i="17"/>
  <c r="X93" i="17"/>
  <c r="W93" i="17"/>
  <c r="AC93" i="17" s="1"/>
  <c r="AD92" i="17"/>
  <c r="AB92" i="17"/>
  <c r="X92" i="17"/>
  <c r="W92" i="17"/>
  <c r="AC92" i="17" s="1"/>
  <c r="AD91" i="17"/>
  <c r="X91" i="17"/>
  <c r="W91" i="17"/>
  <c r="AC91" i="17" s="1"/>
  <c r="AD90" i="17"/>
  <c r="AB90" i="17"/>
  <c r="X90" i="17"/>
  <c r="W90" i="17"/>
  <c r="AC90" i="17" s="1"/>
  <c r="AD89" i="17"/>
  <c r="X89" i="17"/>
  <c r="W89" i="17"/>
  <c r="AC89" i="17" s="1"/>
  <c r="AD88" i="17"/>
  <c r="AB88" i="17"/>
  <c r="X88" i="17"/>
  <c r="W88" i="17"/>
  <c r="AC88" i="17" s="1"/>
  <c r="AD87" i="17"/>
  <c r="X87" i="17"/>
  <c r="W87" i="17"/>
  <c r="AC87" i="17" s="1"/>
  <c r="AD86" i="17"/>
  <c r="AB86" i="17"/>
  <c r="X86" i="17"/>
  <c r="W86" i="17"/>
  <c r="AC86" i="17" s="1"/>
  <c r="M40" i="5"/>
  <c r="M39" i="5"/>
  <c r="M38" i="5"/>
  <c r="AJ9" i="17"/>
  <c r="AI9" i="17"/>
  <c r="AJ4" i="17"/>
  <c r="AI4" i="17"/>
  <c r="AJ3" i="17"/>
  <c r="AI3" i="17"/>
  <c r="AD265" i="17"/>
  <c r="AD264" i="17"/>
  <c r="AD263" i="17"/>
  <c r="AD262" i="17"/>
  <c r="AD261" i="17"/>
  <c r="AD260" i="17"/>
  <c r="AD259" i="17"/>
  <c r="AD258" i="17"/>
  <c r="AD257" i="17"/>
  <c r="AD256" i="17"/>
  <c r="AD255" i="17"/>
  <c r="AD254" i="17"/>
  <c r="AD253" i="17"/>
  <c r="AD252" i="17"/>
  <c r="AD251" i="17"/>
  <c r="AD250" i="17"/>
  <c r="AD249" i="17"/>
  <c r="AD248" i="17"/>
  <c r="AD247" i="17"/>
  <c r="AD246" i="17"/>
  <c r="AD245" i="17"/>
  <c r="AD244" i="17"/>
  <c r="AD243" i="17"/>
  <c r="AD242" i="17"/>
  <c r="AD241" i="17"/>
  <c r="AD240" i="17"/>
  <c r="AD239" i="17"/>
  <c r="AD238" i="17"/>
  <c r="AD237" i="17"/>
  <c r="AD236" i="17"/>
  <c r="AD235" i="17"/>
  <c r="AD234" i="17"/>
  <c r="AD23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9" i="21" s="1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E61" i="17"/>
  <c r="AE60" i="17"/>
  <c r="AE59" i="17"/>
  <c r="AE58" i="17"/>
  <c r="AE57" i="17"/>
  <c r="AE56" i="17"/>
  <c r="AE55" i="17"/>
  <c r="AE54" i="17"/>
  <c r="AE53" i="17"/>
  <c r="AE52" i="17"/>
  <c r="AE51" i="17"/>
  <c r="AE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25" i="17"/>
  <c r="AD24" i="17"/>
  <c r="AD23" i="17"/>
  <c r="AD22" i="17"/>
  <c r="AD21" i="17"/>
  <c r="AD20" i="17"/>
  <c r="AD19" i="17"/>
  <c r="AD18" i="17"/>
  <c r="AD17" i="17"/>
  <c r="AD16" i="17"/>
  <c r="AD15" i="17"/>
  <c r="AD14" i="17"/>
  <c r="V277" i="17"/>
  <c r="V276" i="17"/>
  <c r="V275" i="17"/>
  <c r="AB275" i="17" s="1"/>
  <c r="V274" i="17"/>
  <c r="V273" i="17"/>
  <c r="V272" i="17"/>
  <c r="V271" i="17"/>
  <c r="AB271" i="17" s="1"/>
  <c r="V270" i="17"/>
  <c r="V269" i="17"/>
  <c r="V268" i="17"/>
  <c r="V267" i="17"/>
  <c r="AB267" i="17" s="1"/>
  <c r="V266" i="17"/>
  <c r="X265" i="17"/>
  <c r="W265" i="17"/>
  <c r="V265" i="17"/>
  <c r="AB265" i="17" s="1"/>
  <c r="X264" i="17"/>
  <c r="W264" i="17"/>
  <c r="V264" i="17"/>
  <c r="AB264" i="17" s="1"/>
  <c r="X263" i="17"/>
  <c r="W263" i="17"/>
  <c r="V263" i="17"/>
  <c r="AB263" i="17" s="1"/>
  <c r="X262" i="17"/>
  <c r="W262" i="17"/>
  <c r="V262" i="17"/>
  <c r="AB262" i="17" s="1"/>
  <c r="X261" i="17"/>
  <c r="W261" i="17"/>
  <c r="V261" i="17"/>
  <c r="AB261" i="17" s="1"/>
  <c r="X260" i="17"/>
  <c r="W260" i="17"/>
  <c r="V260" i="17"/>
  <c r="AB260" i="17" s="1"/>
  <c r="X259" i="17"/>
  <c r="W259" i="17"/>
  <c r="V259" i="17"/>
  <c r="AB259" i="17" s="1"/>
  <c r="X258" i="17"/>
  <c r="W258" i="17"/>
  <c r="V258" i="17"/>
  <c r="AB258" i="17" s="1"/>
  <c r="X257" i="17"/>
  <c r="W257" i="17"/>
  <c r="V257" i="17"/>
  <c r="AB257" i="17" s="1"/>
  <c r="X256" i="17"/>
  <c r="W256" i="17"/>
  <c r="V256" i="17"/>
  <c r="AB256" i="17" s="1"/>
  <c r="X255" i="17"/>
  <c r="W255" i="17"/>
  <c r="V255" i="17"/>
  <c r="AB255" i="17" s="1"/>
  <c r="X254" i="17"/>
  <c r="W254" i="17"/>
  <c r="V254" i="17"/>
  <c r="AB254" i="17" s="1"/>
  <c r="X253" i="17"/>
  <c r="W253" i="17"/>
  <c r="V253" i="17"/>
  <c r="AB253" i="17" s="1"/>
  <c r="X252" i="17"/>
  <c r="W252" i="17"/>
  <c r="V252" i="17"/>
  <c r="AB252" i="17" s="1"/>
  <c r="X251" i="17"/>
  <c r="W251" i="17"/>
  <c r="V251" i="17"/>
  <c r="AB251" i="17" s="1"/>
  <c r="X250" i="17"/>
  <c r="W250" i="17"/>
  <c r="V250" i="17"/>
  <c r="AB250" i="17" s="1"/>
  <c r="X249" i="17"/>
  <c r="W249" i="17"/>
  <c r="V249" i="17"/>
  <c r="AB249" i="17" s="1"/>
  <c r="X248" i="17"/>
  <c r="W248" i="17"/>
  <c r="V248" i="17"/>
  <c r="AB248" i="17" s="1"/>
  <c r="X247" i="17"/>
  <c r="W247" i="17"/>
  <c r="V247" i="17"/>
  <c r="AB247" i="17" s="1"/>
  <c r="X246" i="17"/>
  <c r="W246" i="17"/>
  <c r="V246" i="17"/>
  <c r="AB246" i="17" s="1"/>
  <c r="X245" i="17"/>
  <c r="W245" i="17"/>
  <c r="V245" i="17"/>
  <c r="AB245" i="17" s="1"/>
  <c r="X244" i="17"/>
  <c r="W244" i="17"/>
  <c r="V244" i="17"/>
  <c r="AB244" i="17" s="1"/>
  <c r="X243" i="17"/>
  <c r="W243" i="17"/>
  <c r="V243" i="17"/>
  <c r="AB243" i="17" s="1"/>
  <c r="X242" i="17"/>
  <c r="W242" i="17"/>
  <c r="V242" i="17"/>
  <c r="AB242" i="17" s="1"/>
  <c r="X241" i="17"/>
  <c r="W241" i="17"/>
  <c r="V241" i="17"/>
  <c r="AB241" i="17" s="1"/>
  <c r="X240" i="17"/>
  <c r="W240" i="17"/>
  <c r="V240" i="17"/>
  <c r="AB240" i="17" s="1"/>
  <c r="X239" i="17"/>
  <c r="W239" i="17"/>
  <c r="V239" i="17"/>
  <c r="AB239" i="17" s="1"/>
  <c r="X238" i="17"/>
  <c r="W238" i="17"/>
  <c r="V238" i="17"/>
  <c r="AB238" i="17" s="1"/>
  <c r="X237" i="17"/>
  <c r="W237" i="17"/>
  <c r="V237" i="17"/>
  <c r="AB237" i="17" s="1"/>
  <c r="X236" i="17"/>
  <c r="W236" i="17"/>
  <c r="V236" i="17"/>
  <c r="AB236" i="17" s="1"/>
  <c r="X235" i="17"/>
  <c r="W235" i="17"/>
  <c r="V235" i="17"/>
  <c r="AB235" i="17" s="1"/>
  <c r="X234" i="17"/>
  <c r="W234" i="17"/>
  <c r="V234" i="17"/>
  <c r="AB234" i="17" s="1"/>
  <c r="X233" i="17"/>
  <c r="W233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AC198" i="17" s="1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AC194" i="17" s="1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AC190" i="17" s="1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AC186" i="17" s="1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AC182" i="17" s="1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AC178" i="17" s="1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AC174" i="17" s="1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AC170" i="17" s="1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AC166" i="17" s="1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AC162" i="17" s="1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AC158" i="17" s="1"/>
  <c r="V158" i="17"/>
  <c r="AB158" i="17" s="1"/>
  <c r="V157" i="17"/>
  <c r="AB157" i="17" s="1"/>
  <c r="V156" i="17"/>
  <c r="V155" i="17"/>
  <c r="AB155" i="17" s="1"/>
  <c r="V154" i="17"/>
  <c r="V153" i="17"/>
  <c r="AB153" i="17" s="1"/>
  <c r="V152" i="17"/>
  <c r="V151" i="17"/>
  <c r="AB151" i="17" s="1"/>
  <c r="V150" i="17"/>
  <c r="V149" i="17"/>
  <c r="AB149" i="17" s="1"/>
  <c r="V148" i="17"/>
  <c r="V147" i="17"/>
  <c r="AB147" i="17" s="1"/>
  <c r="V146" i="17"/>
  <c r="X145" i="17"/>
  <c r="AC145" i="17" s="1"/>
  <c r="W145" i="17"/>
  <c r="X144" i="17"/>
  <c r="W144" i="17"/>
  <c r="X143" i="17"/>
  <c r="W143" i="17"/>
  <c r="X142" i="17"/>
  <c r="W142" i="17"/>
  <c r="X141" i="17"/>
  <c r="W141" i="17"/>
  <c r="X140" i="17"/>
  <c r="W140" i="17"/>
  <c r="X139" i="17"/>
  <c r="W139" i="17"/>
  <c r="X138" i="17"/>
  <c r="W138" i="17"/>
  <c r="X137" i="17"/>
  <c r="AC137" i="17" s="1"/>
  <c r="W137" i="17"/>
  <c r="X136" i="17"/>
  <c r="W136" i="17"/>
  <c r="X135" i="17"/>
  <c r="W135" i="17"/>
  <c r="X134" i="17"/>
  <c r="W134" i="17"/>
  <c r="V133" i="17"/>
  <c r="AB133" i="17" s="1"/>
  <c r="V132" i="17"/>
  <c r="V131" i="17"/>
  <c r="AB131" i="17" s="1"/>
  <c r="V130" i="17"/>
  <c r="V129" i="17"/>
  <c r="AB129" i="17" s="1"/>
  <c r="V128" i="17"/>
  <c r="V127" i="17"/>
  <c r="AB127" i="17" s="1"/>
  <c r="V126" i="17"/>
  <c r="V125" i="17"/>
  <c r="AB125" i="17" s="1"/>
  <c r="V124" i="17"/>
  <c r="V123" i="17"/>
  <c r="AB123" i="17" s="1"/>
  <c r="V122" i="17"/>
  <c r="V121" i="17"/>
  <c r="AB121" i="17" s="1"/>
  <c r="V120" i="17"/>
  <c r="V119" i="17"/>
  <c r="AB119" i="17" s="1"/>
  <c r="V118" i="17"/>
  <c r="V117" i="17"/>
  <c r="AB117" i="17" s="1"/>
  <c r="V116" i="17"/>
  <c r="V115" i="17"/>
  <c r="AB115" i="17" s="1"/>
  <c r="V114" i="17"/>
  <c r="V113" i="17"/>
  <c r="AB113" i="17" s="1"/>
  <c r="V112" i="17"/>
  <c r="V111" i="17"/>
  <c r="AB111" i="17" s="1"/>
  <c r="V110" i="17"/>
  <c r="X109" i="17"/>
  <c r="AC109" i="17" s="1"/>
  <c r="W109" i="17"/>
  <c r="X108" i="17"/>
  <c r="W108" i="17"/>
  <c r="X107" i="17"/>
  <c r="AC107" i="17" s="1"/>
  <c r="W107" i="17"/>
  <c r="X106" i="17"/>
  <c r="W106" i="17"/>
  <c r="X105" i="17"/>
  <c r="W105" i="17"/>
  <c r="X104" i="17"/>
  <c r="AC104" i="17" s="1"/>
  <c r="W104" i="17"/>
  <c r="X103" i="17"/>
  <c r="AC103" i="17" s="1"/>
  <c r="W103" i="17"/>
  <c r="X102" i="17"/>
  <c r="W102" i="17"/>
  <c r="X101" i="17"/>
  <c r="W101" i="17"/>
  <c r="X100" i="17"/>
  <c r="AC100" i="17" s="1"/>
  <c r="W100" i="17"/>
  <c r="X99" i="17"/>
  <c r="W99" i="17"/>
  <c r="X98" i="17"/>
  <c r="AC98" i="17" s="1"/>
  <c r="W98" i="17"/>
  <c r="V97" i="17"/>
  <c r="AB97" i="17" s="1"/>
  <c r="V96" i="17"/>
  <c r="V95" i="17"/>
  <c r="AB95" i="17" s="1"/>
  <c r="V94" i="17"/>
  <c r="V93" i="17"/>
  <c r="AB93" i="17" s="1"/>
  <c r="V92" i="17"/>
  <c r="V91" i="17"/>
  <c r="AB91" i="17" s="1"/>
  <c r="V90" i="17"/>
  <c r="V89" i="17"/>
  <c r="AB89" i="17" s="1"/>
  <c r="V88" i="17"/>
  <c r="V87" i="17"/>
  <c r="AB87" i="17" s="1"/>
  <c r="V86" i="17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AC82" i="17" s="1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AC78" i="17" s="1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AC74" i="17" s="1"/>
  <c r="V74" i="17"/>
  <c r="AB74" i="17" s="1"/>
  <c r="X73" i="17"/>
  <c r="W73" i="17"/>
  <c r="V73" i="17"/>
  <c r="AB73" i="17" s="1"/>
  <c r="X72" i="17"/>
  <c r="W72" i="17"/>
  <c r="AC72" i="17" s="1"/>
  <c r="V72" i="17"/>
  <c r="AB72" i="17" s="1"/>
  <c r="X71" i="17"/>
  <c r="W71" i="17"/>
  <c r="V71" i="17"/>
  <c r="AB71" i="17" s="1"/>
  <c r="X70" i="17"/>
  <c r="W70" i="17"/>
  <c r="AC70" i="17" s="1"/>
  <c r="V70" i="17"/>
  <c r="AB70" i="17" s="1"/>
  <c r="X69" i="17"/>
  <c r="W69" i="17"/>
  <c r="V69" i="17"/>
  <c r="AB69" i="17" s="1"/>
  <c r="X68" i="17"/>
  <c r="W68" i="17"/>
  <c r="AC68" i="17" s="1"/>
  <c r="V68" i="17"/>
  <c r="AB68" i="17" s="1"/>
  <c r="X67" i="17"/>
  <c r="W67" i="17"/>
  <c r="V67" i="17"/>
  <c r="AB67" i="17" s="1"/>
  <c r="X66" i="17"/>
  <c r="W66" i="17"/>
  <c r="AC66" i="17" s="1"/>
  <c r="V66" i="17"/>
  <c r="AB66" i="17" s="1"/>
  <c r="X65" i="17"/>
  <c r="W65" i="17"/>
  <c r="V65" i="17"/>
  <c r="AB65" i="17" s="1"/>
  <c r="X64" i="17"/>
  <c r="W64" i="17"/>
  <c r="AC64" i="17" s="1"/>
  <c r="V64" i="17"/>
  <c r="AB64" i="17" s="1"/>
  <c r="X63" i="17"/>
  <c r="W63" i="17"/>
  <c r="V63" i="17"/>
  <c r="AB63" i="17" s="1"/>
  <c r="X62" i="17"/>
  <c r="W62" i="17"/>
  <c r="AC62" i="17" s="1"/>
  <c r="V62" i="17"/>
  <c r="AB62" i="17" s="1"/>
  <c r="X61" i="17"/>
  <c r="W61" i="17"/>
  <c r="V61" i="17"/>
  <c r="AB61" i="17" s="1"/>
  <c r="X60" i="17"/>
  <c r="W60" i="17"/>
  <c r="AC60" i="17" s="1"/>
  <c r="V60" i="17"/>
  <c r="AB60" i="17" s="1"/>
  <c r="X59" i="17"/>
  <c r="W59" i="17"/>
  <c r="V59" i="17"/>
  <c r="AB59" i="17" s="1"/>
  <c r="X58" i="17"/>
  <c r="W58" i="17"/>
  <c r="AC58" i="17" s="1"/>
  <c r="V58" i="17"/>
  <c r="AB58" i="17" s="1"/>
  <c r="X57" i="17"/>
  <c r="W57" i="17"/>
  <c r="V57" i="17"/>
  <c r="AB57" i="17" s="1"/>
  <c r="X56" i="17"/>
  <c r="W56" i="17"/>
  <c r="AC56" i="17" s="1"/>
  <c r="V56" i="17"/>
  <c r="AB56" i="17" s="1"/>
  <c r="X55" i="17"/>
  <c r="W55" i="17"/>
  <c r="V55" i="17"/>
  <c r="AB55" i="17" s="1"/>
  <c r="X54" i="17"/>
  <c r="W54" i="17"/>
  <c r="AC54" i="17" s="1"/>
  <c r="V54" i="17"/>
  <c r="AB54" i="17" s="1"/>
  <c r="X53" i="17"/>
  <c r="W53" i="17"/>
  <c r="V53" i="17"/>
  <c r="AB53" i="17" s="1"/>
  <c r="X52" i="17"/>
  <c r="W52" i="17"/>
  <c r="AC52" i="17" s="1"/>
  <c r="V52" i="17"/>
  <c r="AB52" i="17" s="1"/>
  <c r="X51" i="17"/>
  <c r="W51" i="17"/>
  <c r="V51" i="17"/>
  <c r="AB51" i="17" s="1"/>
  <c r="X50" i="17"/>
  <c r="W50" i="17"/>
  <c r="AC50" i="17" s="1"/>
  <c r="V50" i="17"/>
  <c r="AB50" i="17" s="1"/>
  <c r="X49" i="17"/>
  <c r="W49" i="17"/>
  <c r="V49" i="17"/>
  <c r="AB49" i="17" s="1"/>
  <c r="X48" i="17"/>
  <c r="W48" i="17"/>
  <c r="AC48" i="17" s="1"/>
  <c r="V48" i="17"/>
  <c r="AB48" i="17" s="1"/>
  <c r="X47" i="17"/>
  <c r="W47" i="17"/>
  <c r="V47" i="17"/>
  <c r="AB47" i="17" s="1"/>
  <c r="X46" i="17"/>
  <c r="W46" i="17"/>
  <c r="AC46" i="17" s="1"/>
  <c r="V46" i="17"/>
  <c r="AB46" i="17" s="1"/>
  <c r="X45" i="17"/>
  <c r="W45" i="17"/>
  <c r="V45" i="17"/>
  <c r="AB45" i="17" s="1"/>
  <c r="X44" i="17"/>
  <c r="W44" i="17"/>
  <c r="AC44" i="17" s="1"/>
  <c r="V44" i="17"/>
  <c r="AB44" i="17" s="1"/>
  <c r="X43" i="17"/>
  <c r="W43" i="17"/>
  <c r="V43" i="17"/>
  <c r="AB43" i="17" s="1"/>
  <c r="X42" i="17"/>
  <c r="W42" i="17"/>
  <c r="AC42" i="17" s="1"/>
  <c r="V42" i="17"/>
  <c r="AB42" i="17" s="1"/>
  <c r="X41" i="17"/>
  <c r="W41" i="17"/>
  <c r="V41" i="17"/>
  <c r="AB41" i="17" s="1"/>
  <c r="X40" i="17"/>
  <c r="W40" i="17"/>
  <c r="AC40" i="17" s="1"/>
  <c r="V40" i="17"/>
  <c r="AB40" i="17" s="1"/>
  <c r="X39" i="17"/>
  <c r="W39" i="17"/>
  <c r="V39" i="17"/>
  <c r="AB39" i="17" s="1"/>
  <c r="X38" i="17"/>
  <c r="W38" i="17"/>
  <c r="AC38" i="17" s="1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AC34" i="17" s="1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AC30" i="17" s="1"/>
  <c r="V30" i="17"/>
  <c r="AB30" i="17" s="1"/>
  <c r="X29" i="17"/>
  <c r="W29" i="17"/>
  <c r="V29" i="17"/>
  <c r="AB29" i="17" s="1"/>
  <c r="X28" i="17"/>
  <c r="W28" i="17"/>
  <c r="AC28" i="17" s="1"/>
  <c r="V28" i="17"/>
  <c r="AB28" i="17" s="1"/>
  <c r="X27" i="17"/>
  <c r="W27" i="17"/>
  <c r="V27" i="17"/>
  <c r="AB27" i="17" s="1"/>
  <c r="X26" i="17"/>
  <c r="W26" i="17"/>
  <c r="AC26" i="17" s="1"/>
  <c r="V26" i="17"/>
  <c r="AB26" i="17" s="1"/>
  <c r="X25" i="17"/>
  <c r="W25" i="17"/>
  <c r="V25" i="17"/>
  <c r="AB25" i="17" s="1"/>
  <c r="X24" i="17"/>
  <c r="W24" i="17"/>
  <c r="AC24" i="17" s="1"/>
  <c r="V24" i="17"/>
  <c r="AB24" i="17" s="1"/>
  <c r="X23" i="17"/>
  <c r="W23" i="17"/>
  <c r="V23" i="17"/>
  <c r="AB23" i="17" s="1"/>
  <c r="X22" i="17"/>
  <c r="W22" i="17"/>
  <c r="AC22" i="17" s="1"/>
  <c r="V22" i="17"/>
  <c r="AB22" i="17" s="1"/>
  <c r="X21" i="17"/>
  <c r="W21" i="17"/>
  <c r="V21" i="17"/>
  <c r="AB21" i="17" s="1"/>
  <c r="X20" i="17"/>
  <c r="W20" i="17"/>
  <c r="AC20" i="17" s="1"/>
  <c r="V20" i="17"/>
  <c r="AB20" i="17" s="1"/>
  <c r="X19" i="17"/>
  <c r="W19" i="17"/>
  <c r="V19" i="17"/>
  <c r="AB19" i="17" s="1"/>
  <c r="X18" i="17"/>
  <c r="W18" i="17"/>
  <c r="AC18" i="17" s="1"/>
  <c r="V18" i="17"/>
  <c r="AB18" i="17" s="1"/>
  <c r="X17" i="17"/>
  <c r="W17" i="17"/>
  <c r="V17" i="17"/>
  <c r="AB17" i="17" s="1"/>
  <c r="X16" i="17"/>
  <c r="W16" i="17"/>
  <c r="AC16" i="17" s="1"/>
  <c r="V16" i="17"/>
  <c r="AB16" i="17" s="1"/>
  <c r="X15" i="17"/>
  <c r="W15" i="17"/>
  <c r="V15" i="17"/>
  <c r="AB15" i="17" s="1"/>
  <c r="X14" i="17"/>
  <c r="W14" i="17"/>
  <c r="AC14" i="17" s="1"/>
  <c r="V14" i="17"/>
  <c r="AB14" i="17" s="1"/>
  <c r="X13" i="17"/>
  <c r="W13" i="17"/>
  <c r="V13" i="17"/>
  <c r="AB13" i="17" s="1"/>
  <c r="X12" i="17"/>
  <c r="W12" i="17"/>
  <c r="AC12" i="17" s="1"/>
  <c r="V12" i="17"/>
  <c r="AB12" i="17" s="1"/>
  <c r="X11" i="17"/>
  <c r="W11" i="17"/>
  <c r="V11" i="17"/>
  <c r="AB11" i="17" s="1"/>
  <c r="X10" i="17"/>
  <c r="W10" i="17"/>
  <c r="AC10" i="17" s="1"/>
  <c r="V10" i="17"/>
  <c r="AB10" i="17" s="1"/>
  <c r="X9" i="17"/>
  <c r="W9" i="17"/>
  <c r="V9" i="17"/>
  <c r="AB9" i="17" s="1"/>
  <c r="X8" i="17"/>
  <c r="W8" i="17"/>
  <c r="AC8" i="17" s="1"/>
  <c r="V8" i="17"/>
  <c r="AB8" i="17" s="1"/>
  <c r="X7" i="17"/>
  <c r="W7" i="17"/>
  <c r="V7" i="17"/>
  <c r="AB7" i="17" s="1"/>
  <c r="X6" i="17"/>
  <c r="W6" i="17"/>
  <c r="AC6" i="17" s="1"/>
  <c r="V6" i="17"/>
  <c r="AB6" i="17" s="1"/>
  <c r="X5" i="17"/>
  <c r="W5" i="17"/>
  <c r="V5" i="17"/>
  <c r="AB5" i="17" s="1"/>
  <c r="X4" i="17"/>
  <c r="W4" i="17"/>
  <c r="AC4" i="17" s="1"/>
  <c r="V4" i="17"/>
  <c r="AB4" i="17" s="1"/>
  <c r="X3" i="17"/>
  <c r="W3" i="17"/>
  <c r="V3" i="17"/>
  <c r="AB3" i="17" s="1"/>
  <c r="X2" i="17"/>
  <c r="W2" i="17"/>
  <c r="AC2" i="17" s="1"/>
  <c r="V2" i="17"/>
  <c r="AB2" i="17" s="1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D484" i="16"/>
  <c r="AC484" i="16"/>
  <c r="AE483" i="16"/>
  <c r="AD483" i="16"/>
  <c r="AC483" i="16"/>
  <c r="AE482" i="16"/>
  <c r="AD482" i="16"/>
  <c r="AC482" i="16"/>
  <c r="AE481" i="16"/>
  <c r="AD481" i="16"/>
  <c r="AC481" i="16"/>
  <c r="AE480" i="16"/>
  <c r="AD480" i="16"/>
  <c r="AC480" i="16"/>
  <c r="AE479" i="16"/>
  <c r="AD479" i="16"/>
  <c r="AC479" i="16"/>
  <c r="AE478" i="16"/>
  <c r="AD478" i="16"/>
  <c r="AC478" i="16"/>
  <c r="AE477" i="16"/>
  <c r="AD477" i="16"/>
  <c r="AC477" i="16"/>
  <c r="AE476" i="16"/>
  <c r="AD476" i="16"/>
  <c r="AC476" i="16"/>
  <c r="AE475" i="16"/>
  <c r="AD475" i="16"/>
  <c r="AC475" i="16"/>
  <c r="AE474" i="16"/>
  <c r="AD474" i="16"/>
  <c r="AC474" i="16"/>
  <c r="AE473" i="16"/>
  <c r="AD473" i="16"/>
  <c r="AC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A9" i="21" s="1"/>
  <c r="AE248" i="16"/>
  <c r="AD248" i="16"/>
  <c r="AC248" i="16"/>
  <c r="AE247" i="16"/>
  <c r="AD247" i="16"/>
  <c r="AC247" i="16"/>
  <c r="AE246" i="16"/>
  <c r="AD246" i="16"/>
  <c r="AC246" i="16"/>
  <c r="AE245" i="16"/>
  <c r="AD245" i="16"/>
  <c r="AC245" i="16"/>
  <c r="AE244" i="16"/>
  <c r="AD244" i="16"/>
  <c r="AC244" i="16"/>
  <c r="AE243" i="16"/>
  <c r="AD243" i="16"/>
  <c r="AC243" i="16"/>
  <c r="AE242" i="16"/>
  <c r="AD242" i="16"/>
  <c r="AC242" i="16"/>
  <c r="AE241" i="16"/>
  <c r="AD241" i="16"/>
  <c r="AC241" i="16"/>
  <c r="AE240" i="16"/>
  <c r="AD240" i="16"/>
  <c r="AC240" i="16"/>
  <c r="AE239" i="16"/>
  <c r="AD239" i="16"/>
  <c r="AC239" i="16"/>
  <c r="AE238" i="16"/>
  <c r="AD238" i="16"/>
  <c r="AC238" i="16"/>
  <c r="AE237" i="16"/>
  <c r="AD237" i="16"/>
  <c r="AC237" i="16"/>
  <c r="AG236" i="16"/>
  <c r="AF236" i="16"/>
  <c r="AB236" i="16"/>
  <c r="AG235" i="16"/>
  <c r="AF235" i="16"/>
  <c r="AB235" i="16"/>
  <c r="AG234" i="16"/>
  <c r="AF234" i="16"/>
  <c r="AB234" i="16"/>
  <c r="AG233" i="16"/>
  <c r="AF233" i="16"/>
  <c r="AB233" i="16"/>
  <c r="AG232" i="16"/>
  <c r="AF232" i="16"/>
  <c r="AB232" i="16"/>
  <c r="AG231" i="16"/>
  <c r="AF231" i="16"/>
  <c r="AB231" i="16"/>
  <c r="AG230" i="16"/>
  <c r="AF230" i="16"/>
  <c r="AB230" i="16"/>
  <c r="AG229" i="16"/>
  <c r="AF229" i="16"/>
  <c r="AB229" i="16"/>
  <c r="AG228" i="16"/>
  <c r="AF228" i="16"/>
  <c r="AB228" i="16"/>
  <c r="AG227" i="16"/>
  <c r="AF227" i="16"/>
  <c r="AB227" i="16"/>
  <c r="AG226" i="16"/>
  <c r="AF226" i="16"/>
  <c r="AB226" i="16"/>
  <c r="AG225" i="16"/>
  <c r="AF225" i="16"/>
  <c r="AB225" i="16"/>
  <c r="AE224" i="16"/>
  <c r="AD224" i="16"/>
  <c r="AC224" i="16"/>
  <c r="AE223" i="16"/>
  <c r="AD223" i="16"/>
  <c r="AC223" i="16"/>
  <c r="AE222" i="16"/>
  <c r="AD222" i="16"/>
  <c r="AC222" i="16"/>
  <c r="AE221" i="16"/>
  <c r="AD221" i="16"/>
  <c r="AC221" i="16"/>
  <c r="AE220" i="16"/>
  <c r="AD220" i="16"/>
  <c r="AC220" i="16"/>
  <c r="AE219" i="16"/>
  <c r="AD219" i="16"/>
  <c r="AC219" i="16"/>
  <c r="AE218" i="16"/>
  <c r="AD218" i="16"/>
  <c r="AC218" i="16"/>
  <c r="AE217" i="16"/>
  <c r="AD217" i="16"/>
  <c r="AC217" i="16"/>
  <c r="AE216" i="16"/>
  <c r="AD216" i="16"/>
  <c r="AC216" i="16"/>
  <c r="AE215" i="16"/>
  <c r="AD215" i="16"/>
  <c r="AC215" i="16"/>
  <c r="AE214" i="16"/>
  <c r="AD214" i="16"/>
  <c r="AC214" i="16"/>
  <c r="AE213" i="16"/>
  <c r="AD213" i="16"/>
  <c r="AC213" i="16"/>
  <c r="AE212" i="16"/>
  <c r="AD212" i="16"/>
  <c r="AC212" i="16"/>
  <c r="AE211" i="16"/>
  <c r="AD211" i="16"/>
  <c r="AC211" i="16"/>
  <c r="AE210" i="16"/>
  <c r="AD210" i="16"/>
  <c r="AC210" i="16"/>
  <c r="AE209" i="16"/>
  <c r="AD209" i="16"/>
  <c r="AC209" i="16"/>
  <c r="AE208" i="16"/>
  <c r="AD208" i="16"/>
  <c r="AC208" i="16"/>
  <c r="AE207" i="16"/>
  <c r="AD207" i="16"/>
  <c r="AC207" i="16"/>
  <c r="AE206" i="16"/>
  <c r="AD206" i="16"/>
  <c r="AC206" i="16"/>
  <c r="AE205" i="16"/>
  <c r="AD205" i="16"/>
  <c r="AC205" i="16"/>
  <c r="AE204" i="16"/>
  <c r="AD204" i="16"/>
  <c r="AC204" i="16"/>
  <c r="AE203" i="16"/>
  <c r="AD203" i="16"/>
  <c r="AC203" i="16"/>
  <c r="AE202" i="16"/>
  <c r="AD202" i="16"/>
  <c r="AC202" i="16"/>
  <c r="AE201" i="16"/>
  <c r="AD201" i="16"/>
  <c r="AC201" i="16"/>
  <c r="AG200" i="16"/>
  <c r="AF200" i="16"/>
  <c r="AB200" i="16"/>
  <c r="AG199" i="16"/>
  <c r="AF199" i="16"/>
  <c r="AB199" i="16"/>
  <c r="AG198" i="16"/>
  <c r="AF198" i="16"/>
  <c r="AB198" i="16"/>
  <c r="AG197" i="16"/>
  <c r="AF197" i="16"/>
  <c r="AB197" i="16"/>
  <c r="AG196" i="16"/>
  <c r="AF196" i="16"/>
  <c r="AB196" i="16"/>
  <c r="AG195" i="16"/>
  <c r="AF195" i="16"/>
  <c r="AB195" i="16"/>
  <c r="AG194" i="16"/>
  <c r="AF194" i="16"/>
  <c r="AB194" i="16"/>
  <c r="AG193" i="16"/>
  <c r="AF193" i="16"/>
  <c r="AB193" i="16"/>
  <c r="AG192" i="16"/>
  <c r="AF192" i="16"/>
  <c r="AB192" i="16"/>
  <c r="AG191" i="16"/>
  <c r="AF191" i="16"/>
  <c r="AB191" i="16"/>
  <c r="AG190" i="16"/>
  <c r="AF190" i="16"/>
  <c r="AB190" i="16"/>
  <c r="AG189" i="16"/>
  <c r="AF189" i="16"/>
  <c r="AB189" i="16"/>
  <c r="AE188" i="16"/>
  <c r="AD188" i="16"/>
  <c r="AC188" i="16"/>
  <c r="AE187" i="16"/>
  <c r="AD187" i="16"/>
  <c r="AC187" i="16"/>
  <c r="AE186" i="16"/>
  <c r="AD186" i="16"/>
  <c r="AC186" i="16"/>
  <c r="AE185" i="16"/>
  <c r="AD185" i="16"/>
  <c r="AC185" i="16"/>
  <c r="AE184" i="16"/>
  <c r="AD184" i="16"/>
  <c r="AC184" i="16"/>
  <c r="AE183" i="16"/>
  <c r="AD183" i="16"/>
  <c r="AC183" i="16"/>
  <c r="AE182" i="16"/>
  <c r="AD182" i="16"/>
  <c r="AC182" i="16"/>
  <c r="AE181" i="16"/>
  <c r="AD181" i="16"/>
  <c r="AC181" i="16"/>
  <c r="AE180" i="16"/>
  <c r="AD180" i="16"/>
  <c r="AC180" i="16"/>
  <c r="AE179" i="16"/>
  <c r="AD179" i="16"/>
  <c r="AC179" i="16"/>
  <c r="AE178" i="16"/>
  <c r="AD178" i="16"/>
  <c r="AC178" i="16"/>
  <c r="AE177" i="16"/>
  <c r="AD177" i="16"/>
  <c r="AC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G152" i="16"/>
  <c r="AF152" i="16"/>
  <c r="AG151" i="16"/>
  <c r="AF151" i="16"/>
  <c r="AG150" i="16"/>
  <c r="AF150" i="16"/>
  <c r="AG149" i="16"/>
  <c r="AF149" i="16"/>
  <c r="AG148" i="16"/>
  <c r="AF148" i="16"/>
  <c r="AG147" i="16"/>
  <c r="AF147" i="16"/>
  <c r="AG146" i="16"/>
  <c r="AF146" i="16"/>
  <c r="AG145" i="16"/>
  <c r="AF145" i="16"/>
  <c r="AG144" i="16"/>
  <c r="AF144" i="16"/>
  <c r="AG143" i="16"/>
  <c r="AF143" i="16"/>
  <c r="AG142" i="16"/>
  <c r="AF142" i="16"/>
  <c r="AG141" i="16"/>
  <c r="AF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G128" i="16"/>
  <c r="AE128" i="16"/>
  <c r="AG127" i="16"/>
  <c r="AE127" i="16"/>
  <c r="AG126" i="16"/>
  <c r="AE126" i="16"/>
  <c r="AG125" i="16"/>
  <c r="AE125" i="16"/>
  <c r="AG124" i="16"/>
  <c r="AE124" i="16"/>
  <c r="AG123" i="16"/>
  <c r="AE123" i="16"/>
  <c r="AG122" i="16"/>
  <c r="AE122" i="16"/>
  <c r="AG121" i="16"/>
  <c r="AE121" i="16"/>
  <c r="AG120" i="16"/>
  <c r="AE120" i="16"/>
  <c r="AG119" i="16"/>
  <c r="AE119" i="16"/>
  <c r="AG118" i="16"/>
  <c r="AE118" i="16"/>
  <c r="AG117" i="16"/>
  <c r="AE117" i="16"/>
  <c r="AG116" i="16"/>
  <c r="AF116" i="16"/>
  <c r="AG115" i="16"/>
  <c r="AF115" i="16"/>
  <c r="AG114" i="16"/>
  <c r="AF114" i="16"/>
  <c r="AG113" i="16"/>
  <c r="AF113" i="16"/>
  <c r="AG112" i="16"/>
  <c r="AF112" i="16"/>
  <c r="AG111" i="16"/>
  <c r="AF111" i="16"/>
  <c r="AG110" i="16"/>
  <c r="AF110" i="16"/>
  <c r="AG109" i="16"/>
  <c r="AF109" i="16"/>
  <c r="AG108" i="16"/>
  <c r="AF108" i="16"/>
  <c r="AG107" i="16"/>
  <c r="AF107" i="16"/>
  <c r="AG106" i="16"/>
  <c r="AF106" i="16"/>
  <c r="AG105" i="16"/>
  <c r="AF105" i="16"/>
  <c r="AG104" i="16"/>
  <c r="AE104" i="16"/>
  <c r="AG103" i="16"/>
  <c r="AE103" i="16"/>
  <c r="AG102" i="16"/>
  <c r="AE102" i="16"/>
  <c r="AG101" i="16"/>
  <c r="AE101" i="16"/>
  <c r="AG100" i="16"/>
  <c r="AE100" i="16"/>
  <c r="AG99" i="16"/>
  <c r="AE99" i="16"/>
  <c r="AG98" i="16"/>
  <c r="AE98" i="16"/>
  <c r="AG97" i="16"/>
  <c r="AE97" i="16"/>
  <c r="AG96" i="16"/>
  <c r="AE96" i="16"/>
  <c r="AG95" i="16"/>
  <c r="AE95" i="16"/>
  <c r="AG94" i="16"/>
  <c r="AE94" i="16"/>
  <c r="AG93" i="16"/>
  <c r="AE93" i="16"/>
  <c r="AE92" i="16"/>
  <c r="AE91" i="16"/>
  <c r="AE90" i="16"/>
  <c r="AE89" i="16"/>
  <c r="AE88" i="16"/>
  <c r="AE87" i="16"/>
  <c r="AE86" i="16"/>
  <c r="AE85" i="16"/>
  <c r="AE84" i="16"/>
  <c r="AE83" i="16"/>
  <c r="AE82" i="16"/>
  <c r="AE81" i="16"/>
  <c r="AE80" i="16"/>
  <c r="AE79" i="16"/>
  <c r="AE78" i="16"/>
  <c r="AG77" i="16"/>
  <c r="AF77" i="16"/>
  <c r="AG76" i="16"/>
  <c r="AF76" i="16"/>
  <c r="AG75" i="16"/>
  <c r="AF75" i="16"/>
  <c r="AG74" i="16"/>
  <c r="AF74" i="16"/>
  <c r="AG73" i="16"/>
  <c r="AF73" i="16"/>
  <c r="AG72" i="16"/>
  <c r="AF72" i="16"/>
  <c r="AG71" i="16"/>
  <c r="AF71" i="16"/>
  <c r="AG70" i="16"/>
  <c r="AF70" i="16"/>
  <c r="AG69" i="16"/>
  <c r="AF69" i="16"/>
  <c r="AG68" i="16"/>
  <c r="AF68" i="16"/>
  <c r="AG67" i="16"/>
  <c r="AF67" i="16"/>
  <c r="AG66" i="16"/>
  <c r="AF66" i="16"/>
  <c r="AG65" i="16"/>
  <c r="AF65" i="16"/>
  <c r="AG64" i="16"/>
  <c r="AF64" i="16"/>
  <c r="AG63" i="16"/>
  <c r="AF63" i="16"/>
  <c r="AG62" i="16"/>
  <c r="AF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E52" i="16"/>
  <c r="AE51" i="16"/>
  <c r="AE50" i="16"/>
  <c r="AE49" i="16"/>
  <c r="AE48" i="16"/>
  <c r="AE47" i="16"/>
  <c r="AE46" i="16"/>
  <c r="AE45" i="16"/>
  <c r="AE44" i="16"/>
  <c r="AE43" i="16"/>
  <c r="AE42" i="16"/>
  <c r="AE41" i="16"/>
  <c r="AE40" i="16"/>
  <c r="AE39" i="16"/>
  <c r="AE38" i="16"/>
  <c r="AG37" i="16"/>
  <c r="AG36" i="16"/>
  <c r="AG35" i="16"/>
  <c r="AG34" i="16"/>
  <c r="AG33" i="16"/>
  <c r="AG32" i="16"/>
  <c r="AG31" i="16"/>
  <c r="AG30" i="16"/>
  <c r="AG29" i="16"/>
  <c r="AG28" i="16"/>
  <c r="AG27" i="16"/>
  <c r="AG26" i="16"/>
  <c r="AG25" i="16"/>
  <c r="AE25" i="16"/>
  <c r="AG24" i="16"/>
  <c r="AE24" i="16"/>
  <c r="AG23" i="16"/>
  <c r="AE23" i="16"/>
  <c r="AG22" i="16"/>
  <c r="AE22" i="16"/>
  <c r="AG21" i="16"/>
  <c r="AE21" i="16"/>
  <c r="AG20" i="16"/>
  <c r="AE20" i="16"/>
  <c r="AG19" i="16"/>
  <c r="AE19" i="16"/>
  <c r="AG18" i="16"/>
  <c r="AE18" i="16"/>
  <c r="AG17" i="16"/>
  <c r="AE17" i="16"/>
  <c r="AG16" i="16"/>
  <c r="AE16" i="16"/>
  <c r="AG15" i="16"/>
  <c r="AE15" i="16"/>
  <c r="AG14" i="16"/>
  <c r="AE14" i="16"/>
  <c r="AG13" i="16"/>
  <c r="AG12" i="16"/>
  <c r="AG11" i="16"/>
  <c r="AG10" i="16"/>
  <c r="AG9" i="16"/>
  <c r="AG8" i="16"/>
  <c r="AG7" i="16"/>
  <c r="AG6" i="16"/>
  <c r="AG5" i="16"/>
  <c r="AG4" i="16"/>
  <c r="AG3" i="16"/>
  <c r="AG2" i="16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V484" i="16"/>
  <c r="AB484" i="16" s="1"/>
  <c r="V483" i="16"/>
  <c r="AB483" i="16" s="1"/>
  <c r="V482" i="16"/>
  <c r="AB482" i="16" s="1"/>
  <c r="V481" i="16"/>
  <c r="AB481" i="16" s="1"/>
  <c r="V480" i="16"/>
  <c r="AB480" i="16" s="1"/>
  <c r="V479" i="16"/>
  <c r="AB479" i="16" s="1"/>
  <c r="V478" i="16"/>
  <c r="AB478" i="16" s="1"/>
  <c r="V477" i="16"/>
  <c r="AB477" i="16" s="1"/>
  <c r="V476" i="16"/>
  <c r="AB476" i="16" s="1"/>
  <c r="V475" i="16"/>
  <c r="AB475" i="16" s="1"/>
  <c r="V474" i="16"/>
  <c r="AB474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AO4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V248" i="16"/>
  <c r="AB248" i="16" s="1"/>
  <c r="V247" i="16"/>
  <c r="AB247" i="16" s="1"/>
  <c r="V246" i="16"/>
  <c r="AB246" i="16" s="1"/>
  <c r="V245" i="16"/>
  <c r="AB245" i="16" s="1"/>
  <c r="V244" i="16"/>
  <c r="AB244" i="16" s="1"/>
  <c r="V243" i="16"/>
  <c r="AB243" i="16" s="1"/>
  <c r="V242" i="16"/>
  <c r="AB242" i="16" s="1"/>
  <c r="V241" i="16"/>
  <c r="AB241" i="16" s="1"/>
  <c r="V240" i="16"/>
  <c r="AB240" i="16" s="1"/>
  <c r="V239" i="16"/>
  <c r="AB239" i="16" s="1"/>
  <c r="V238" i="16"/>
  <c r="AB238" i="16" s="1"/>
  <c r="V237" i="16"/>
  <c r="AB237" i="16" s="1"/>
  <c r="X236" i="16"/>
  <c r="AD236" i="16" s="1"/>
  <c r="W236" i="16"/>
  <c r="AC236" i="16" s="1"/>
  <c r="X235" i="16"/>
  <c r="AD235" i="16" s="1"/>
  <c r="W235" i="16"/>
  <c r="AC235" i="16" s="1"/>
  <c r="X234" i="16"/>
  <c r="AD234" i="16" s="1"/>
  <c r="W234" i="16"/>
  <c r="AC234" i="16" s="1"/>
  <c r="X233" i="16"/>
  <c r="AD233" i="16" s="1"/>
  <c r="W233" i="16"/>
  <c r="AC233" i="16" s="1"/>
  <c r="X232" i="16"/>
  <c r="AD232" i="16" s="1"/>
  <c r="W232" i="16"/>
  <c r="AC232" i="16" s="1"/>
  <c r="X231" i="16"/>
  <c r="AD231" i="16" s="1"/>
  <c r="W231" i="16"/>
  <c r="AC231" i="16" s="1"/>
  <c r="X230" i="16"/>
  <c r="AD230" i="16" s="1"/>
  <c r="W230" i="16"/>
  <c r="AC230" i="16" s="1"/>
  <c r="X229" i="16"/>
  <c r="AD229" i="16" s="1"/>
  <c r="W229" i="16"/>
  <c r="AC229" i="16" s="1"/>
  <c r="X228" i="16"/>
  <c r="AD228" i="16" s="1"/>
  <c r="W228" i="16"/>
  <c r="AC228" i="16" s="1"/>
  <c r="X227" i="16"/>
  <c r="AD227" i="16" s="1"/>
  <c r="W227" i="16"/>
  <c r="AC227" i="16" s="1"/>
  <c r="X226" i="16"/>
  <c r="AD226" i="16" s="1"/>
  <c r="W226" i="16"/>
  <c r="AC226" i="16" s="1"/>
  <c r="X225" i="16"/>
  <c r="AD225" i="16" s="1"/>
  <c r="W225" i="16"/>
  <c r="AC225" i="16" s="1"/>
  <c r="V224" i="16"/>
  <c r="AB224" i="16" s="1"/>
  <c r="V223" i="16"/>
  <c r="AB223" i="16" s="1"/>
  <c r="V222" i="16"/>
  <c r="AB222" i="16" s="1"/>
  <c r="V221" i="16"/>
  <c r="AB221" i="16" s="1"/>
  <c r="V220" i="16"/>
  <c r="AB220" i="16" s="1"/>
  <c r="V219" i="16"/>
  <c r="AB219" i="16" s="1"/>
  <c r="V218" i="16"/>
  <c r="AB218" i="16" s="1"/>
  <c r="V217" i="16"/>
  <c r="AB217" i="16" s="1"/>
  <c r="V216" i="16"/>
  <c r="AB216" i="16" s="1"/>
  <c r="V215" i="16"/>
  <c r="AB215" i="16" s="1"/>
  <c r="V214" i="16"/>
  <c r="AB214" i="16" s="1"/>
  <c r="V213" i="16"/>
  <c r="AB213" i="16" s="1"/>
  <c r="V212" i="16"/>
  <c r="AB212" i="16" s="1"/>
  <c r="V211" i="16"/>
  <c r="AB211" i="16" s="1"/>
  <c r="V210" i="16"/>
  <c r="AB210" i="16" s="1"/>
  <c r="V209" i="16"/>
  <c r="AB209" i="16" s="1"/>
  <c r="V208" i="16"/>
  <c r="AB208" i="16" s="1"/>
  <c r="V207" i="16"/>
  <c r="AB207" i="16" s="1"/>
  <c r="V206" i="16"/>
  <c r="AB206" i="16" s="1"/>
  <c r="V205" i="16"/>
  <c r="AB205" i="16" s="1"/>
  <c r="V204" i="16"/>
  <c r="AB204" i="16" s="1"/>
  <c r="V203" i="16"/>
  <c r="AB203" i="16" s="1"/>
  <c r="V202" i="16"/>
  <c r="AB202" i="16" s="1"/>
  <c r="V201" i="16"/>
  <c r="AB201" i="16" s="1"/>
  <c r="X200" i="16"/>
  <c r="AD200" i="16" s="1"/>
  <c r="W200" i="16"/>
  <c r="AC200" i="16" s="1"/>
  <c r="X199" i="16"/>
  <c r="AD199" i="16" s="1"/>
  <c r="W199" i="16"/>
  <c r="AC199" i="16" s="1"/>
  <c r="X198" i="16"/>
  <c r="AD198" i="16" s="1"/>
  <c r="W198" i="16"/>
  <c r="AC198" i="16" s="1"/>
  <c r="X197" i="16"/>
  <c r="AD197" i="16" s="1"/>
  <c r="W197" i="16"/>
  <c r="AC197" i="16" s="1"/>
  <c r="X196" i="16"/>
  <c r="AD196" i="16" s="1"/>
  <c r="W196" i="16"/>
  <c r="AC196" i="16" s="1"/>
  <c r="X195" i="16"/>
  <c r="AD195" i="16" s="1"/>
  <c r="W195" i="16"/>
  <c r="AC195" i="16" s="1"/>
  <c r="X194" i="16"/>
  <c r="AD194" i="16" s="1"/>
  <c r="W194" i="16"/>
  <c r="AC194" i="16" s="1"/>
  <c r="X193" i="16"/>
  <c r="AD193" i="16" s="1"/>
  <c r="W193" i="16"/>
  <c r="AC193" i="16" s="1"/>
  <c r="X192" i="16"/>
  <c r="AD192" i="16" s="1"/>
  <c r="W192" i="16"/>
  <c r="AC192" i="16" s="1"/>
  <c r="X191" i="16"/>
  <c r="AD191" i="16" s="1"/>
  <c r="W191" i="16"/>
  <c r="AC191" i="16" s="1"/>
  <c r="X190" i="16"/>
  <c r="AD190" i="16" s="1"/>
  <c r="W190" i="16"/>
  <c r="AC190" i="16" s="1"/>
  <c r="X189" i="16"/>
  <c r="AD189" i="16" s="1"/>
  <c r="W189" i="16"/>
  <c r="AC189" i="16" s="1"/>
  <c r="V188" i="16"/>
  <c r="AB188" i="16" s="1"/>
  <c r="V187" i="16"/>
  <c r="AB187" i="16" s="1"/>
  <c r="V186" i="16"/>
  <c r="AB186" i="16" s="1"/>
  <c r="V185" i="16"/>
  <c r="AB185" i="16" s="1"/>
  <c r="V184" i="16"/>
  <c r="AB184" i="16" s="1"/>
  <c r="V183" i="16"/>
  <c r="AB183" i="16" s="1"/>
  <c r="V182" i="16"/>
  <c r="AB182" i="16" s="1"/>
  <c r="V181" i="16"/>
  <c r="AB181" i="16" s="1"/>
  <c r="V180" i="16"/>
  <c r="AB180" i="16" s="1"/>
  <c r="V179" i="16"/>
  <c r="AB179" i="16" s="1"/>
  <c r="V178" i="16"/>
  <c r="AB178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Z51" i="7" s="1"/>
  <c r="X51" i="6"/>
  <c r="W51" i="6"/>
  <c r="V51" i="6"/>
  <c r="U51" i="6"/>
  <c r="AD50" i="6"/>
  <c r="AB50" i="6"/>
  <c r="AA50" i="6"/>
  <c r="Z50" i="6"/>
  <c r="Z50" i="7" s="1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Z48" i="7" s="1"/>
  <c r="X48" i="6"/>
  <c r="W48" i="6"/>
  <c r="V48" i="6"/>
  <c r="U48" i="6"/>
  <c r="AD47" i="6"/>
  <c r="AB47" i="6"/>
  <c r="AA47" i="6"/>
  <c r="Z47" i="6"/>
  <c r="Z47" i="7" s="1"/>
  <c r="X47" i="6"/>
  <c r="W47" i="6"/>
  <c r="V47" i="6"/>
  <c r="U47" i="6"/>
  <c r="AD46" i="6"/>
  <c r="AB46" i="6"/>
  <c r="AA46" i="6"/>
  <c r="Z46" i="6"/>
  <c r="Z46" i="7" s="1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Z44" i="6"/>
  <c r="Z44" i="7" s="1"/>
  <c r="X44" i="6"/>
  <c r="W44" i="6"/>
  <c r="V44" i="6"/>
  <c r="U44" i="6"/>
  <c r="AD43" i="6"/>
  <c r="AB43" i="6"/>
  <c r="AA43" i="6"/>
  <c r="Z43" i="6"/>
  <c r="Z43" i="7" s="1"/>
  <c r="X43" i="6"/>
  <c r="W43" i="6"/>
  <c r="V43" i="6"/>
  <c r="U43" i="6"/>
  <c r="AD42" i="6"/>
  <c r="AB42" i="6"/>
  <c r="AA42" i="6"/>
  <c r="Z42" i="6"/>
  <c r="Z42" i="7" s="1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Z40" i="7" s="1"/>
  <c r="X40" i="6"/>
  <c r="W40" i="6"/>
  <c r="V40" i="6"/>
  <c r="U40" i="6"/>
  <c r="AD39" i="6"/>
  <c r="AB39" i="6"/>
  <c r="AA39" i="6"/>
  <c r="Z39" i="6"/>
  <c r="Z39" i="7" s="1"/>
  <c r="X39" i="6"/>
  <c r="W39" i="6"/>
  <c r="V39" i="6"/>
  <c r="U39" i="6"/>
  <c r="AD38" i="6"/>
  <c r="AB38" i="6"/>
  <c r="AA38" i="6"/>
  <c r="Z38" i="6"/>
  <c r="Z38" i="7" s="1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Z36" i="7" s="1"/>
  <c r="X36" i="6"/>
  <c r="W36" i="6"/>
  <c r="V36" i="6"/>
  <c r="U36" i="6"/>
  <c r="AD35" i="6"/>
  <c r="AB35" i="6"/>
  <c r="AA35" i="6"/>
  <c r="Z35" i="6"/>
  <c r="Z35" i="7" s="1"/>
  <c r="X35" i="6"/>
  <c r="W35" i="6"/>
  <c r="V35" i="6"/>
  <c r="U35" i="6"/>
  <c r="AD34" i="6"/>
  <c r="AB34" i="6"/>
  <c r="AA34" i="6"/>
  <c r="Z34" i="6"/>
  <c r="Z34" i="7" s="1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Z32" i="7" s="1"/>
  <c r="X32" i="6"/>
  <c r="W32" i="6"/>
  <c r="V32" i="6"/>
  <c r="U32" i="6"/>
  <c r="AD31" i="6"/>
  <c r="AB31" i="6"/>
  <c r="AA31" i="6"/>
  <c r="Z31" i="6"/>
  <c r="Z31" i="7" s="1"/>
  <c r="X31" i="6"/>
  <c r="W31" i="6"/>
  <c r="V31" i="6"/>
  <c r="U31" i="6"/>
  <c r="AD30" i="6"/>
  <c r="AB30" i="6"/>
  <c r="AA30" i="6"/>
  <c r="Z30" i="6"/>
  <c r="Z30" i="7" s="1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Z28" i="7" s="1"/>
  <c r="X28" i="6"/>
  <c r="W28" i="6"/>
  <c r="V28" i="6"/>
  <c r="U28" i="6"/>
  <c r="AD27" i="6"/>
  <c r="AB27" i="6"/>
  <c r="AA27" i="6"/>
  <c r="Z27" i="6"/>
  <c r="Z27" i="7" s="1"/>
  <c r="X27" i="6"/>
  <c r="W27" i="6"/>
  <c r="V27" i="6"/>
  <c r="U27" i="6"/>
  <c r="AD26" i="6"/>
  <c r="AB26" i="6"/>
  <c r="AA26" i="6"/>
  <c r="Z26" i="6"/>
  <c r="Z26" i="7" s="1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AA19" i="7" s="1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O44" i="12"/>
  <c r="O48" i="12" s="1"/>
  <c r="N44" i="12"/>
  <c r="N48" i="12" s="1"/>
  <c r="M44" i="12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AG50" i="7"/>
  <c r="AA50" i="7"/>
  <c r="AG49" i="7"/>
  <c r="AA49" i="7"/>
  <c r="Z49" i="7"/>
  <c r="AG48" i="7"/>
  <c r="AA48" i="7"/>
  <c r="AG47" i="7"/>
  <c r="AA47" i="7"/>
  <c r="AG46" i="7"/>
  <c r="AA46" i="7"/>
  <c r="AG45" i="7"/>
  <c r="AA45" i="7"/>
  <c r="Z45" i="7"/>
  <c r="AG44" i="7"/>
  <c r="AA44" i="7"/>
  <c r="AG43" i="7"/>
  <c r="AA43" i="7"/>
  <c r="AG42" i="7"/>
  <c r="AA42" i="7"/>
  <c r="AG41" i="7"/>
  <c r="AA41" i="7"/>
  <c r="Z41" i="7"/>
  <c r="AG40" i="7"/>
  <c r="AA40" i="7"/>
  <c r="AG39" i="7"/>
  <c r="AA39" i="7"/>
  <c r="AG38" i="7"/>
  <c r="AA38" i="7"/>
  <c r="AG37" i="7"/>
  <c r="AA37" i="7"/>
  <c r="Z37" i="7"/>
  <c r="AG36" i="7"/>
  <c r="AA36" i="7"/>
  <c r="AG35" i="7"/>
  <c r="AA35" i="7"/>
  <c r="AG34" i="7"/>
  <c r="AA34" i="7"/>
  <c r="AG33" i="7"/>
  <c r="AA33" i="7"/>
  <c r="Z33" i="7"/>
  <c r="AG32" i="7"/>
  <c r="AA32" i="7"/>
  <c r="AG31" i="7"/>
  <c r="AA31" i="7"/>
  <c r="AG30" i="7"/>
  <c r="AA30" i="7"/>
  <c r="AG29" i="7"/>
  <c r="AA29" i="7"/>
  <c r="Z29" i="7"/>
  <c r="AG28" i="7"/>
  <c r="AA28" i="7"/>
  <c r="AG27" i="7"/>
  <c r="AA27" i="7"/>
  <c r="AG26" i="7"/>
  <c r="AA26" i="7"/>
  <c r="AG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Z19" i="7"/>
  <c r="AG18" i="7"/>
  <c r="AA18" i="7"/>
  <c r="Z18" i="7"/>
  <c r="AG17" i="7"/>
  <c r="Z17" i="7"/>
  <c r="AG16" i="7"/>
  <c r="AA16" i="7"/>
  <c r="Z16" i="7"/>
  <c r="AG15" i="7"/>
  <c r="Z15" i="7"/>
  <c r="AG14" i="7"/>
  <c r="AA14" i="7"/>
  <c r="Z14" i="7"/>
  <c r="AG13" i="7"/>
  <c r="Z13" i="7"/>
  <c r="AG12" i="7"/>
  <c r="AA12" i="7"/>
  <c r="Z12" i="7"/>
  <c r="AG11" i="7"/>
  <c r="Z11" i="7"/>
  <c r="AG10" i="7"/>
  <c r="AA10" i="7"/>
  <c r="Z10" i="7"/>
  <c r="AG9" i="7"/>
  <c r="Z9" i="7"/>
  <c r="AG8" i="7"/>
  <c r="AA8" i="7"/>
  <c r="Z8" i="7"/>
  <c r="AG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N16" i="6"/>
  <c r="N15" i="6"/>
  <c r="N9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F45" i="5"/>
  <c r="AJ57" i="6"/>
  <c r="AJ56" i="6"/>
  <c r="AI55" i="7"/>
  <c r="AI56" i="6"/>
  <c r="AH56" i="6"/>
  <c r="W56" i="6"/>
  <c r="AA58" i="6"/>
  <c r="E45" i="5"/>
  <c r="D45" i="5"/>
  <c r="F43" i="5"/>
  <c r="D43" i="5"/>
  <c r="F41" i="5"/>
  <c r="E41" i="5"/>
  <c r="D41" i="5"/>
  <c r="F28" i="5"/>
  <c r="D28" i="5"/>
  <c r="AL56" i="6" s="1"/>
  <c r="F23" i="5"/>
  <c r="AG58" i="6" s="1"/>
  <c r="D23" i="5"/>
  <c r="AG56" i="6" s="1"/>
  <c r="F20" i="5"/>
  <c r="AD56" i="7" s="1"/>
  <c r="E20" i="5"/>
  <c r="AD55" i="7" s="1"/>
  <c r="D20" i="5"/>
  <c r="AD56" i="6" s="1"/>
  <c r="E18" i="5"/>
  <c r="AB55" i="7" s="1"/>
  <c r="D18" i="5"/>
  <c r="AB56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6" i="23" l="1"/>
  <c r="BD58" i="23" s="1"/>
  <c r="I6" i="7"/>
  <c r="I6" i="6"/>
  <c r="I6" i="8"/>
  <c r="I6" i="14"/>
  <c r="I6" i="9"/>
  <c r="I10" i="23"/>
  <c r="BD62" i="23" s="1"/>
  <c r="I10" i="7"/>
  <c r="I10" i="6"/>
  <c r="I10" i="8"/>
  <c r="I10" i="14"/>
  <c r="I10" i="9"/>
  <c r="I14" i="23"/>
  <c r="BD66" i="23" s="1"/>
  <c r="I14" i="7"/>
  <c r="I14" i="6"/>
  <c r="I14" i="8"/>
  <c r="I14" i="14"/>
  <c r="I14" i="9"/>
  <c r="I20" i="23"/>
  <c r="I20" i="8"/>
  <c r="I20" i="6"/>
  <c r="I20" i="14"/>
  <c r="I20" i="9"/>
  <c r="I20" i="7"/>
  <c r="I23" i="23"/>
  <c r="I23" i="14"/>
  <c r="I23" i="8"/>
  <c r="I23" i="7"/>
  <c r="I23" i="6"/>
  <c r="I23" i="9"/>
  <c r="I25" i="23"/>
  <c r="I25" i="14"/>
  <c r="I25" i="9"/>
  <c r="I25" i="7"/>
  <c r="I25" i="8"/>
  <c r="I25" i="6"/>
  <c r="I29" i="23"/>
  <c r="I29" i="9"/>
  <c r="I29" i="7"/>
  <c r="I29" i="14"/>
  <c r="I29" i="8"/>
  <c r="I29" i="6"/>
  <c r="I34" i="23"/>
  <c r="I34" i="7"/>
  <c r="I34" i="8"/>
  <c r="I34" i="6"/>
  <c r="I34" i="14"/>
  <c r="I34" i="9"/>
  <c r="I36" i="23"/>
  <c r="I36" i="8"/>
  <c r="I36" i="7"/>
  <c r="I36" i="6"/>
  <c r="I36" i="9"/>
  <c r="I36" i="14"/>
  <c r="I41" i="23"/>
  <c r="I41" i="9"/>
  <c r="I41" i="7"/>
  <c r="I41" i="14"/>
  <c r="I41" i="8"/>
  <c r="I41" i="6"/>
  <c r="I43" i="23"/>
  <c r="I43" i="8"/>
  <c r="I43" i="6"/>
  <c r="I43" i="9"/>
  <c r="I43" i="7"/>
  <c r="I43" i="14"/>
  <c r="I46" i="23"/>
  <c r="I46" i="7"/>
  <c r="I46" i="8"/>
  <c r="I46" i="6"/>
  <c r="I46" i="14"/>
  <c r="I46" i="9"/>
  <c r="I50" i="23"/>
  <c r="I50" i="7"/>
  <c r="I50" i="8"/>
  <c r="I50" i="6"/>
  <c r="I50" i="14"/>
  <c r="I50" i="9"/>
  <c r="I5" i="24"/>
  <c r="AG47" i="24" s="1"/>
  <c r="P14" i="5"/>
  <c r="P17" i="5" s="1"/>
  <c r="I5" i="12"/>
  <c r="I5" i="11"/>
  <c r="I5" i="10"/>
  <c r="I5" i="13"/>
  <c r="I8" i="24"/>
  <c r="AE50" i="24" s="1"/>
  <c r="I8" i="13"/>
  <c r="I8" i="12"/>
  <c r="I8" i="11"/>
  <c r="I8" i="10"/>
  <c r="I11" i="24"/>
  <c r="AG53" i="24" s="1"/>
  <c r="I11" i="12"/>
  <c r="I11" i="11"/>
  <c r="I11" i="10"/>
  <c r="I11" i="13"/>
  <c r="I15" i="24"/>
  <c r="AD57" i="24" s="1"/>
  <c r="I15" i="12"/>
  <c r="I15" i="11"/>
  <c r="I15" i="10"/>
  <c r="I15" i="13"/>
  <c r="I18" i="24"/>
  <c r="I18" i="12"/>
  <c r="I18" i="11"/>
  <c r="I18" i="10"/>
  <c r="I18" i="13"/>
  <c r="I20" i="24"/>
  <c r="Y62" i="24" s="1"/>
  <c r="I20" i="13"/>
  <c r="I20" i="12"/>
  <c r="I20" i="11"/>
  <c r="I20" i="10"/>
  <c r="I22" i="24"/>
  <c r="I22" i="12"/>
  <c r="I22" i="11"/>
  <c r="I22" i="10"/>
  <c r="I22" i="13"/>
  <c r="I27" i="24"/>
  <c r="AA69" i="24" s="1"/>
  <c r="I27" i="12"/>
  <c r="I27" i="11"/>
  <c r="I27" i="10"/>
  <c r="I27" i="13"/>
  <c r="I31" i="24"/>
  <c r="AD73" i="24" s="1"/>
  <c r="I31" i="12"/>
  <c r="I31" i="11"/>
  <c r="I31" i="10"/>
  <c r="I31" i="13"/>
  <c r="I5" i="23"/>
  <c r="P12" i="5"/>
  <c r="P15" i="5" s="1"/>
  <c r="I5" i="14"/>
  <c r="I5" i="9"/>
  <c r="I5" i="7"/>
  <c r="I5" i="6"/>
  <c r="I5" i="8"/>
  <c r="I8" i="23"/>
  <c r="AZ60" i="23" s="1"/>
  <c r="I8" i="8"/>
  <c r="I8" i="14"/>
  <c r="I8" i="9"/>
  <c r="I8" i="7"/>
  <c r="I8" i="6"/>
  <c r="I13" i="23"/>
  <c r="I13" i="14"/>
  <c r="I13" i="9"/>
  <c r="I13" i="7"/>
  <c r="I13" i="6"/>
  <c r="I13" i="8"/>
  <c r="I15" i="23"/>
  <c r="AU67" i="23" s="1"/>
  <c r="I15" i="8"/>
  <c r="I15" i="14"/>
  <c r="I15" i="9"/>
  <c r="I15" i="6"/>
  <c r="I15" i="7"/>
  <c r="I18" i="23"/>
  <c r="I18" i="7"/>
  <c r="I18" i="8"/>
  <c r="I18" i="6"/>
  <c r="I18" i="14"/>
  <c r="I18" i="9"/>
  <c r="I21" i="23"/>
  <c r="I21" i="14"/>
  <c r="I21" i="9"/>
  <c r="I21" i="7"/>
  <c r="I21" i="8"/>
  <c r="I21" i="6"/>
  <c r="I27" i="23"/>
  <c r="I27" i="8"/>
  <c r="I27" i="6"/>
  <c r="I27" i="9"/>
  <c r="I27" i="7"/>
  <c r="I27" i="14"/>
  <c r="I31" i="23"/>
  <c r="I31" i="8"/>
  <c r="I31" i="6"/>
  <c r="I31" i="9"/>
  <c r="I31" i="7"/>
  <c r="I31" i="14"/>
  <c r="I33" i="23"/>
  <c r="I33" i="9"/>
  <c r="I33" i="7"/>
  <c r="I33" i="14"/>
  <c r="I33" i="8"/>
  <c r="I33" i="6"/>
  <c r="I37" i="23"/>
  <c r="I37" i="9"/>
  <c r="I37" i="7"/>
  <c r="I37" i="14"/>
  <c r="I37" i="8"/>
  <c r="I37" i="6"/>
  <c r="I40" i="23"/>
  <c r="I40" i="8"/>
  <c r="I40" i="7"/>
  <c r="I40" i="6"/>
  <c r="I40" i="9"/>
  <c r="I40" i="14"/>
  <c r="I45" i="23"/>
  <c r="I45" i="9"/>
  <c r="I45" i="7"/>
  <c r="I45" i="14"/>
  <c r="I45" i="8"/>
  <c r="I45" i="6"/>
  <c r="I49" i="23"/>
  <c r="I49" i="9"/>
  <c r="I49" i="7"/>
  <c r="I49" i="14"/>
  <c r="I49" i="8"/>
  <c r="I49" i="6"/>
  <c r="I7" i="24"/>
  <c r="AG49" i="24" s="1"/>
  <c r="I7" i="12"/>
  <c r="I7" i="11"/>
  <c r="I7" i="10"/>
  <c r="I7" i="13"/>
  <c r="I9" i="24"/>
  <c r="AG51" i="24" s="1"/>
  <c r="I9" i="12"/>
  <c r="I9" i="11"/>
  <c r="I9" i="10"/>
  <c r="I9" i="13"/>
  <c r="I12" i="24"/>
  <c r="AE54" i="24" s="1"/>
  <c r="I12" i="13"/>
  <c r="I12" i="12"/>
  <c r="I12" i="11"/>
  <c r="I12" i="10"/>
  <c r="I16" i="24"/>
  <c r="AF58" i="24" s="1"/>
  <c r="I16" i="13"/>
  <c r="I16" i="12"/>
  <c r="I16" i="11"/>
  <c r="I16" i="10"/>
  <c r="I19" i="24"/>
  <c r="AA61" i="24" s="1"/>
  <c r="I19" i="12"/>
  <c r="I19" i="11"/>
  <c r="I19" i="10"/>
  <c r="I19" i="13"/>
  <c r="I24" i="24"/>
  <c r="AG66" i="24" s="1"/>
  <c r="I24" i="13"/>
  <c r="I24" i="12"/>
  <c r="I24" i="11"/>
  <c r="I24" i="10"/>
  <c r="I33" i="24"/>
  <c r="I33" i="12"/>
  <c r="I33" i="11"/>
  <c r="I33" i="10"/>
  <c r="I33" i="13"/>
  <c r="P13" i="5"/>
  <c r="I7" i="23"/>
  <c r="BC59" i="23" s="1"/>
  <c r="I7" i="8"/>
  <c r="I7" i="14"/>
  <c r="I7" i="9"/>
  <c r="I7" i="7"/>
  <c r="I7" i="6"/>
  <c r="I9" i="23"/>
  <c r="I9" i="14"/>
  <c r="I9" i="9"/>
  <c r="I9" i="7"/>
  <c r="I9" i="6"/>
  <c r="I9" i="8"/>
  <c r="I12" i="23"/>
  <c r="AZ64" i="23" s="1"/>
  <c r="I12" i="8"/>
  <c r="I12" i="14"/>
  <c r="I12" i="9"/>
  <c r="I12" i="7"/>
  <c r="I12" i="6"/>
  <c r="I17" i="23"/>
  <c r="I17" i="14"/>
  <c r="I17" i="9"/>
  <c r="I17" i="7"/>
  <c r="I17" i="8"/>
  <c r="I17" i="6"/>
  <c r="I19" i="23"/>
  <c r="I19" i="8"/>
  <c r="I19" i="6"/>
  <c r="I19" i="14"/>
  <c r="I19" i="9"/>
  <c r="I19" i="7"/>
  <c r="I26" i="23"/>
  <c r="I26" i="7"/>
  <c r="I26" i="8"/>
  <c r="I26" i="6"/>
  <c r="I26" i="14"/>
  <c r="I26" i="9"/>
  <c r="I28" i="23"/>
  <c r="I28" i="8"/>
  <c r="I28" i="7"/>
  <c r="I28" i="6"/>
  <c r="I28" i="9"/>
  <c r="I28" i="14"/>
  <c r="I30" i="23"/>
  <c r="I30" i="7"/>
  <c r="I30" i="8"/>
  <c r="I30" i="6"/>
  <c r="I30" i="14"/>
  <c r="I30" i="9"/>
  <c r="I35" i="23"/>
  <c r="I35" i="8"/>
  <c r="I35" i="6"/>
  <c r="I35" i="9"/>
  <c r="I35" i="7"/>
  <c r="I35" i="14"/>
  <c r="I38" i="23"/>
  <c r="I38" i="7"/>
  <c r="I38" i="8"/>
  <c r="I38" i="6"/>
  <c r="I38" i="14"/>
  <c r="I38" i="9"/>
  <c r="I44" i="23"/>
  <c r="I44" i="8"/>
  <c r="I44" i="7"/>
  <c r="I44" i="6"/>
  <c r="I44" i="9"/>
  <c r="I44" i="14"/>
  <c r="I48" i="23"/>
  <c r="I48" i="8"/>
  <c r="I48" i="7"/>
  <c r="I48" i="6"/>
  <c r="I48" i="9"/>
  <c r="I48" i="14"/>
  <c r="I6" i="24"/>
  <c r="AE48" i="24" s="1"/>
  <c r="I6" i="12"/>
  <c r="I6" i="11"/>
  <c r="I6" i="10"/>
  <c r="I6" i="13"/>
  <c r="I10" i="24"/>
  <c r="AE52" i="24" s="1"/>
  <c r="I10" i="12"/>
  <c r="I10" i="11"/>
  <c r="I10" i="10"/>
  <c r="I10" i="13"/>
  <c r="I13" i="24"/>
  <c r="AG55" i="24" s="1"/>
  <c r="I13" i="12"/>
  <c r="I13" i="11"/>
  <c r="I13" i="10"/>
  <c r="I13" i="13"/>
  <c r="I17" i="24"/>
  <c r="AA59" i="24" s="1"/>
  <c r="I17" i="12"/>
  <c r="I17" i="11"/>
  <c r="I17" i="10"/>
  <c r="I17" i="13"/>
  <c r="I25" i="24"/>
  <c r="AH67" i="24" s="1"/>
  <c r="I25" i="12"/>
  <c r="I25" i="11"/>
  <c r="I25" i="10"/>
  <c r="I25" i="13"/>
  <c r="I38" i="24"/>
  <c r="I38" i="12"/>
  <c r="I38" i="11"/>
  <c r="I38" i="10"/>
  <c r="I38" i="13"/>
  <c r="I11" i="23"/>
  <c r="BC63" i="23" s="1"/>
  <c r="I11" i="8"/>
  <c r="I11" i="14"/>
  <c r="I11" i="9"/>
  <c r="I11" i="7"/>
  <c r="I11" i="6"/>
  <c r="I16" i="23"/>
  <c r="I16" i="8"/>
  <c r="I16" i="14"/>
  <c r="I16" i="9"/>
  <c r="I16" i="6"/>
  <c r="I16" i="7"/>
  <c r="I22" i="23"/>
  <c r="I22" i="14"/>
  <c r="I22" i="8"/>
  <c r="I22" i="6"/>
  <c r="I22" i="9"/>
  <c r="I22" i="7"/>
  <c r="I24" i="23"/>
  <c r="I24" i="14"/>
  <c r="I24" i="8"/>
  <c r="I24" i="6"/>
  <c r="I24" i="9"/>
  <c r="I24" i="7"/>
  <c r="I32" i="23"/>
  <c r="I32" i="8"/>
  <c r="I32" i="7"/>
  <c r="I32" i="6"/>
  <c r="I32" i="9"/>
  <c r="I32" i="14"/>
  <c r="I39" i="23"/>
  <c r="I39" i="8"/>
  <c r="I39" i="6"/>
  <c r="I39" i="9"/>
  <c r="I39" i="7"/>
  <c r="I39" i="14"/>
  <c r="I42" i="23"/>
  <c r="I42" i="7"/>
  <c r="I42" i="8"/>
  <c r="I42" i="6"/>
  <c r="I42" i="14"/>
  <c r="I42" i="9"/>
  <c r="I47" i="23"/>
  <c r="I47" i="8"/>
  <c r="I47" i="6"/>
  <c r="I47" i="9"/>
  <c r="I47" i="7"/>
  <c r="I47" i="14"/>
  <c r="I51" i="23"/>
  <c r="I51" i="8"/>
  <c r="I51" i="6"/>
  <c r="I51" i="9"/>
  <c r="I51" i="7"/>
  <c r="I51" i="14"/>
  <c r="I14" i="24"/>
  <c r="I14" i="12"/>
  <c r="I14" i="11"/>
  <c r="I14" i="10"/>
  <c r="I14" i="13"/>
  <c r="I21" i="24"/>
  <c r="Z63" i="24" s="1"/>
  <c r="I21" i="12"/>
  <c r="I21" i="11"/>
  <c r="I21" i="10"/>
  <c r="I21" i="13"/>
  <c r="I23" i="24"/>
  <c r="AD65" i="24" s="1"/>
  <c r="I23" i="12"/>
  <c r="I23" i="11"/>
  <c r="I23" i="10"/>
  <c r="I23" i="13"/>
  <c r="I26" i="24"/>
  <c r="I26" i="12"/>
  <c r="I26" i="11"/>
  <c r="I26" i="10"/>
  <c r="I26" i="13"/>
  <c r="I28" i="24"/>
  <c r="AD70" i="24" s="1"/>
  <c r="I28" i="13"/>
  <c r="I28" i="12"/>
  <c r="I28" i="11"/>
  <c r="I28" i="10"/>
  <c r="I29" i="24"/>
  <c r="AE71" i="24" s="1"/>
  <c r="I29" i="12"/>
  <c r="I29" i="11"/>
  <c r="I29" i="10"/>
  <c r="I29" i="13"/>
  <c r="I30" i="24"/>
  <c r="I30" i="12"/>
  <c r="I30" i="11"/>
  <c r="I30" i="10"/>
  <c r="I30" i="13"/>
  <c r="I32" i="24"/>
  <c r="I32" i="13"/>
  <c r="I32" i="12"/>
  <c r="I32" i="11"/>
  <c r="I32" i="10"/>
  <c r="I34" i="24"/>
  <c r="I34" i="12"/>
  <c r="I34" i="11"/>
  <c r="I34" i="10"/>
  <c r="I34" i="13"/>
  <c r="I35" i="24"/>
  <c r="AA77" i="24" s="1"/>
  <c r="I35" i="12"/>
  <c r="I35" i="11"/>
  <c r="I35" i="10"/>
  <c r="I35" i="13"/>
  <c r="I36" i="24"/>
  <c r="I36" i="13"/>
  <c r="I36" i="12"/>
  <c r="I36" i="11"/>
  <c r="I36" i="10"/>
  <c r="I37" i="24"/>
  <c r="Z79" i="24" s="1"/>
  <c r="I37" i="12"/>
  <c r="I37" i="11"/>
  <c r="I37" i="10"/>
  <c r="I37" i="13"/>
  <c r="I39" i="24"/>
  <c r="I39" i="12"/>
  <c r="I39" i="11"/>
  <c r="I39" i="10"/>
  <c r="I39" i="13"/>
  <c r="I40" i="24"/>
  <c r="AF82" i="24" s="1"/>
  <c r="I40" i="13"/>
  <c r="I40" i="12"/>
  <c r="I40" i="11"/>
  <c r="I40" i="10"/>
  <c r="I41" i="24"/>
  <c r="I41" i="12"/>
  <c r="I41" i="11"/>
  <c r="I41" i="10"/>
  <c r="I41" i="13"/>
  <c r="AT4" i="16"/>
  <c r="AJ4" i="16"/>
  <c r="AO3" i="16"/>
  <c r="AM57" i="7"/>
  <c r="AJ2" i="16"/>
  <c r="AJ7" i="16" s="1"/>
  <c r="AJ3" i="16"/>
  <c r="AT3" i="16"/>
  <c r="AO6" i="16"/>
  <c r="AO5" i="16"/>
  <c r="AJ5" i="16"/>
  <c r="AT6" i="16"/>
  <c r="AJ6" i="16"/>
  <c r="AA11" i="21"/>
  <c r="AO2" i="16"/>
  <c r="AO7" i="16" s="1"/>
  <c r="AT2" i="16"/>
  <c r="AA10" i="21"/>
  <c r="AC102" i="17"/>
  <c r="AC106" i="17"/>
  <c r="AC108" i="17"/>
  <c r="AC134" i="17"/>
  <c r="AC136" i="17"/>
  <c r="AC138" i="17"/>
  <c r="AC140" i="17"/>
  <c r="AC142" i="17"/>
  <c r="AC144" i="17"/>
  <c r="AA12" i="21"/>
  <c r="AC5" i="17"/>
  <c r="AI2" i="17" s="1"/>
  <c r="AC9" i="17"/>
  <c r="AC99" i="17"/>
  <c r="AC101" i="17"/>
  <c r="AC105" i="17"/>
  <c r="AC135" i="17"/>
  <c r="AC139" i="17"/>
  <c r="AC143" i="17"/>
  <c r="AC236" i="17"/>
  <c r="AC13" i="17"/>
  <c r="AC17" i="17"/>
  <c r="AC21" i="17"/>
  <c r="AC25" i="17"/>
  <c r="AC29" i="17"/>
  <c r="AC41" i="17"/>
  <c r="AC45" i="17"/>
  <c r="AC49" i="17"/>
  <c r="AC53" i="17"/>
  <c r="AC57" i="17"/>
  <c r="AC61" i="17"/>
  <c r="AC65" i="17"/>
  <c r="AC69" i="17"/>
  <c r="AC73" i="17"/>
  <c r="AD10" i="21"/>
  <c r="P16" i="5"/>
  <c r="R10" i="5"/>
  <c r="U9" i="21"/>
  <c r="AI9" i="21" s="1"/>
  <c r="R12" i="21"/>
  <c r="M485" i="21"/>
  <c r="U12" i="21" s="1"/>
  <c r="AI12" i="21" s="1"/>
  <c r="AC3" i="17"/>
  <c r="AC7" i="17"/>
  <c r="AC11" i="17"/>
  <c r="AC15" i="17"/>
  <c r="AC19" i="17"/>
  <c r="AC23" i="17"/>
  <c r="AC27" i="17"/>
  <c r="AC31" i="17"/>
  <c r="AC35" i="17"/>
  <c r="AC39" i="17"/>
  <c r="AC43" i="17"/>
  <c r="AC47" i="17"/>
  <c r="AC51" i="17"/>
  <c r="AC55" i="17"/>
  <c r="AC59" i="17"/>
  <c r="AC63" i="17"/>
  <c r="AC67" i="17"/>
  <c r="AC71" i="17"/>
  <c r="AC75" i="17"/>
  <c r="AI7" i="17" s="1"/>
  <c r="AC79" i="17"/>
  <c r="AC83" i="17"/>
  <c r="R10" i="21"/>
  <c r="Y8" i="21"/>
  <c r="AG8" i="21" s="1"/>
  <c r="Y13" i="21"/>
  <c r="AG13" i="21" s="1"/>
  <c r="AC157" i="17"/>
  <c r="AC266" i="17"/>
  <c r="AI5" i="17" s="1"/>
  <c r="AC267" i="17"/>
  <c r="AC268" i="17"/>
  <c r="AC269" i="17"/>
  <c r="AC270" i="17"/>
  <c r="AC271" i="17"/>
  <c r="AC272" i="17"/>
  <c r="AC273" i="17"/>
  <c r="AC274" i="17"/>
  <c r="AC275" i="17"/>
  <c r="AC276" i="17"/>
  <c r="AC277" i="17"/>
  <c r="R11" i="21"/>
  <c r="AI4" i="21"/>
  <c r="AF5" i="21"/>
  <c r="AG6" i="21"/>
  <c r="R11" i="5"/>
  <c r="R9" i="5"/>
  <c r="E36" i="5"/>
  <c r="D30" i="5" s="1"/>
  <c r="F36" i="5"/>
  <c r="BA57" i="23"/>
  <c r="AW57" i="23"/>
  <c r="AS57" i="23"/>
  <c r="AO57" i="23"/>
  <c r="AK57" i="23"/>
  <c r="BB57" i="23"/>
  <c r="AX57" i="23"/>
  <c r="AT57" i="23"/>
  <c r="AP57" i="23"/>
  <c r="I8" i="25" s="1"/>
  <c r="AL57" i="23"/>
  <c r="BA61" i="23"/>
  <c r="AW61" i="23"/>
  <c r="AS61" i="23"/>
  <c r="AO61" i="23"/>
  <c r="AK61" i="23"/>
  <c r="BB61" i="23"/>
  <c r="AX61" i="23"/>
  <c r="AT61" i="23"/>
  <c r="AP61" i="23"/>
  <c r="AL61" i="23"/>
  <c r="BA65" i="23"/>
  <c r="AW65" i="23"/>
  <c r="AS65" i="23"/>
  <c r="AO65" i="23"/>
  <c r="AK65" i="23"/>
  <c r="BB65" i="23"/>
  <c r="AX65" i="23"/>
  <c r="AT65" i="23"/>
  <c r="AP65" i="23"/>
  <c r="AL65" i="23"/>
  <c r="BA69" i="23"/>
  <c r="AW69" i="23"/>
  <c r="AS69" i="23"/>
  <c r="AO69" i="23"/>
  <c r="AK69" i="23"/>
  <c r="BD69" i="23"/>
  <c r="AZ69" i="23"/>
  <c r="AV69" i="23"/>
  <c r="AR69" i="23"/>
  <c r="AN69" i="23"/>
  <c r="AJ69" i="23"/>
  <c r="BC69" i="23"/>
  <c r="AY69" i="23"/>
  <c r="AU69" i="23"/>
  <c r="AQ69" i="23"/>
  <c r="AM69" i="23"/>
  <c r="AI69" i="23"/>
  <c r="BB69" i="23"/>
  <c r="AX69" i="23"/>
  <c r="AT69" i="23"/>
  <c r="AP69" i="23"/>
  <c r="AL69" i="23"/>
  <c r="BA73" i="23"/>
  <c r="AW73" i="23"/>
  <c r="AS73" i="23"/>
  <c r="AO73" i="23"/>
  <c r="AK73" i="23"/>
  <c r="P73" i="23"/>
  <c r="BD73" i="23"/>
  <c r="AZ73" i="23"/>
  <c r="AV73" i="23"/>
  <c r="AR73" i="23"/>
  <c r="AN73" i="23"/>
  <c r="AJ73" i="23"/>
  <c r="BC73" i="23"/>
  <c r="AY73" i="23"/>
  <c r="AU73" i="23"/>
  <c r="AQ73" i="23"/>
  <c r="AM73" i="23"/>
  <c r="AI73" i="23"/>
  <c r="R73" i="23"/>
  <c r="BB73" i="23"/>
  <c r="AX73" i="23"/>
  <c r="AT73" i="23"/>
  <c r="AP73" i="23"/>
  <c r="AL73" i="23"/>
  <c r="BA77" i="23"/>
  <c r="AW77" i="23"/>
  <c r="AS77" i="23"/>
  <c r="AO77" i="23"/>
  <c r="AK77" i="23"/>
  <c r="BD77" i="23"/>
  <c r="AZ77" i="23"/>
  <c r="AV77" i="23"/>
  <c r="AR77" i="23"/>
  <c r="AN77" i="23"/>
  <c r="AJ77" i="23"/>
  <c r="BC77" i="23"/>
  <c r="AY77" i="23"/>
  <c r="AU77" i="23"/>
  <c r="AQ77" i="23"/>
  <c r="AM77" i="23"/>
  <c r="AI77" i="23"/>
  <c r="BB77" i="23"/>
  <c r="AX77" i="23"/>
  <c r="AT77" i="23"/>
  <c r="AP77" i="23"/>
  <c r="AL77" i="23"/>
  <c r="BA81" i="23"/>
  <c r="AW81" i="23"/>
  <c r="AS81" i="23"/>
  <c r="AO81" i="23"/>
  <c r="AK81" i="23"/>
  <c r="P81" i="23"/>
  <c r="BB81" i="23"/>
  <c r="AX81" i="23"/>
  <c r="AT81" i="23"/>
  <c r="AP81" i="23"/>
  <c r="AL81" i="23"/>
  <c r="AY81" i="23"/>
  <c r="AQ81" i="23"/>
  <c r="AI81" i="23"/>
  <c r="R81" i="23"/>
  <c r="BD81" i="23"/>
  <c r="AV81" i="23"/>
  <c r="AN81" i="23"/>
  <c r="BC81" i="23"/>
  <c r="AU81" i="23"/>
  <c r="AM81" i="23"/>
  <c r="AZ81" i="23"/>
  <c r="AR81" i="23"/>
  <c r="AJ81" i="23"/>
  <c r="BA85" i="23"/>
  <c r="AW85" i="23"/>
  <c r="AS85" i="23"/>
  <c r="AO85" i="23"/>
  <c r="AK85" i="23"/>
  <c r="BD85" i="23"/>
  <c r="AZ85" i="23"/>
  <c r="AV85" i="23"/>
  <c r="AR85" i="23"/>
  <c r="AN85" i="23"/>
  <c r="AJ85" i="23"/>
  <c r="BB85" i="23"/>
  <c r="AX85" i="23"/>
  <c r="AT85" i="23"/>
  <c r="AP85" i="23"/>
  <c r="AL85" i="23"/>
  <c r="AQ85" i="23"/>
  <c r="BC85" i="23"/>
  <c r="AM85" i="23"/>
  <c r="AY85" i="23"/>
  <c r="AI85" i="23"/>
  <c r="AU85" i="23"/>
  <c r="BA89" i="23"/>
  <c r="AW89" i="23"/>
  <c r="AS89" i="23"/>
  <c r="AO89" i="23"/>
  <c r="AK89" i="23"/>
  <c r="BD89" i="23"/>
  <c r="AZ89" i="23"/>
  <c r="AV89" i="23"/>
  <c r="AR89" i="23"/>
  <c r="AN89" i="23"/>
  <c r="AJ89" i="23"/>
  <c r="BC89" i="23"/>
  <c r="AY89" i="23"/>
  <c r="AU89" i="23"/>
  <c r="AQ89" i="23"/>
  <c r="AM89" i="23"/>
  <c r="AI89" i="23"/>
  <c r="BB89" i="23"/>
  <c r="AX89" i="23"/>
  <c r="AT89" i="23"/>
  <c r="AP89" i="23"/>
  <c r="AL89" i="23"/>
  <c r="BA93" i="23"/>
  <c r="AW93" i="23"/>
  <c r="AS93" i="23"/>
  <c r="AO93" i="23"/>
  <c r="AK93" i="23"/>
  <c r="BD93" i="23"/>
  <c r="AZ93" i="23"/>
  <c r="AV93" i="23"/>
  <c r="AR93" i="23"/>
  <c r="AN93" i="23"/>
  <c r="AJ93" i="23"/>
  <c r="BC93" i="23"/>
  <c r="AY93" i="23"/>
  <c r="AU93" i="23"/>
  <c r="AQ93" i="23"/>
  <c r="AM93" i="23"/>
  <c r="AI93" i="23"/>
  <c r="BB93" i="23"/>
  <c r="AX93" i="23"/>
  <c r="AT93" i="23"/>
  <c r="AP93" i="23"/>
  <c r="AL93" i="23"/>
  <c r="BA97" i="23"/>
  <c r="BD97" i="23"/>
  <c r="AZ97" i="23"/>
  <c r="BC97" i="23"/>
  <c r="AY97" i="23"/>
  <c r="BB97" i="23"/>
  <c r="AW97" i="23"/>
  <c r="AS97" i="23"/>
  <c r="AO97" i="23"/>
  <c r="AK97" i="23"/>
  <c r="AV97" i="23"/>
  <c r="AR97" i="23"/>
  <c r="AN97" i="23"/>
  <c r="AJ97" i="23"/>
  <c r="AU97" i="23"/>
  <c r="AQ97" i="23"/>
  <c r="AM97" i="23"/>
  <c r="AI97" i="23"/>
  <c r="AX97" i="23"/>
  <c r="AT97" i="23"/>
  <c r="AP97" i="23"/>
  <c r="AL97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BC101" i="23"/>
  <c r="AY101" i="23"/>
  <c r="AU101" i="23"/>
  <c r="AQ101" i="23"/>
  <c r="AM101" i="23"/>
  <c r="AI101" i="23"/>
  <c r="BB101" i="23"/>
  <c r="AX101" i="23"/>
  <c r="AT101" i="23"/>
  <c r="AP101" i="23"/>
  <c r="AL101" i="23"/>
  <c r="AJ57" i="23"/>
  <c r="AR57" i="23"/>
  <c r="AZ57" i="23"/>
  <c r="AN58" i="23"/>
  <c r="AV58" i="23"/>
  <c r="AJ59" i="23"/>
  <c r="AR59" i="23"/>
  <c r="AZ59" i="23"/>
  <c r="AN60" i="23"/>
  <c r="AV60" i="23"/>
  <c r="BD60" i="23"/>
  <c r="AJ61" i="23"/>
  <c r="AR61" i="23"/>
  <c r="AZ61" i="23"/>
  <c r="AN62" i="23"/>
  <c r="AV62" i="23"/>
  <c r="AJ63" i="23"/>
  <c r="AR63" i="23"/>
  <c r="AZ63" i="23"/>
  <c r="AN64" i="23"/>
  <c r="AV64" i="23"/>
  <c r="BD64" i="23"/>
  <c r="AJ65" i="23"/>
  <c r="AR65" i="23"/>
  <c r="AZ65" i="23"/>
  <c r="AN66" i="23"/>
  <c r="AV66" i="23"/>
  <c r="AJ67" i="23"/>
  <c r="AR67" i="23"/>
  <c r="AZ67" i="23"/>
  <c r="BA58" i="23"/>
  <c r="AW58" i="23"/>
  <c r="AS58" i="23"/>
  <c r="AO58" i="23"/>
  <c r="AK58" i="23"/>
  <c r="BB58" i="23"/>
  <c r="AX58" i="23"/>
  <c r="AT58" i="23"/>
  <c r="AP58" i="23"/>
  <c r="AL58" i="23"/>
  <c r="BA62" i="23"/>
  <c r="AW62" i="23"/>
  <c r="AS62" i="23"/>
  <c r="AO62" i="23"/>
  <c r="AK62" i="23"/>
  <c r="BB62" i="23"/>
  <c r="AX62" i="23"/>
  <c r="AT62" i="23"/>
  <c r="AP62" i="23"/>
  <c r="AL62" i="23"/>
  <c r="BA66" i="23"/>
  <c r="AW66" i="23"/>
  <c r="AS66" i="23"/>
  <c r="AO66" i="23"/>
  <c r="AK66" i="23"/>
  <c r="BB66" i="23"/>
  <c r="AX66" i="23"/>
  <c r="AT66" i="23"/>
  <c r="AP66" i="23"/>
  <c r="AL66" i="23"/>
  <c r="BA70" i="23"/>
  <c r="AW70" i="23"/>
  <c r="AS70" i="23"/>
  <c r="AO70" i="23"/>
  <c r="AK70" i="23"/>
  <c r="BD70" i="23"/>
  <c r="AZ70" i="23"/>
  <c r="AV70" i="23"/>
  <c r="AR70" i="23"/>
  <c r="AN70" i="23"/>
  <c r="AJ70" i="23"/>
  <c r="BC70" i="23"/>
  <c r="AY70" i="23"/>
  <c r="AU70" i="23"/>
  <c r="AQ70" i="23"/>
  <c r="AM70" i="23"/>
  <c r="AI70" i="23"/>
  <c r="BB70" i="23"/>
  <c r="AX70" i="23"/>
  <c r="AT70" i="23"/>
  <c r="AP70" i="23"/>
  <c r="AL70" i="23"/>
  <c r="BA74" i="23"/>
  <c r="AW74" i="23"/>
  <c r="AS74" i="23"/>
  <c r="AO74" i="23"/>
  <c r="AK74" i="23"/>
  <c r="P74" i="23"/>
  <c r="BD74" i="23"/>
  <c r="AZ74" i="23"/>
  <c r="AV74" i="23"/>
  <c r="AR74" i="23"/>
  <c r="AN74" i="23"/>
  <c r="AJ74" i="23"/>
  <c r="BC74" i="23"/>
  <c r="AY74" i="23"/>
  <c r="AU74" i="23"/>
  <c r="AQ74" i="23"/>
  <c r="AM74" i="23"/>
  <c r="AI74" i="23"/>
  <c r="R74" i="23"/>
  <c r="BB74" i="23"/>
  <c r="AX74" i="23"/>
  <c r="AT74" i="23"/>
  <c r="AP74" i="23"/>
  <c r="AL74" i="23"/>
  <c r="BA78" i="23"/>
  <c r="AW78" i="23"/>
  <c r="AS78" i="23"/>
  <c r="AO78" i="23"/>
  <c r="AK78" i="23"/>
  <c r="P78" i="23"/>
  <c r="BD78" i="23"/>
  <c r="AZ78" i="23"/>
  <c r="AV78" i="23"/>
  <c r="AR78" i="23"/>
  <c r="AN78" i="23"/>
  <c r="AJ78" i="23"/>
  <c r="BC78" i="23"/>
  <c r="AY78" i="23"/>
  <c r="AU78" i="23"/>
  <c r="AQ78" i="23"/>
  <c r="AM78" i="23"/>
  <c r="AI78" i="23"/>
  <c r="R78" i="23"/>
  <c r="BB78" i="23"/>
  <c r="AX78" i="23"/>
  <c r="AT78" i="23"/>
  <c r="AP78" i="23"/>
  <c r="AL78" i="23"/>
  <c r="BA82" i="23"/>
  <c r="AW82" i="23"/>
  <c r="AS82" i="23"/>
  <c r="AO82" i="23"/>
  <c r="AK82" i="23"/>
  <c r="BD82" i="23"/>
  <c r="AZ82" i="23"/>
  <c r="AV82" i="23"/>
  <c r="AR82" i="23"/>
  <c r="AN82" i="23"/>
  <c r="AJ82" i="23"/>
  <c r="BB82" i="23"/>
  <c r="AX82" i="23"/>
  <c r="AT82" i="23"/>
  <c r="AP82" i="23"/>
  <c r="AL82" i="23"/>
  <c r="AU82" i="23"/>
  <c r="AQ82" i="23"/>
  <c r="BC82" i="23"/>
  <c r="AM82" i="23"/>
  <c r="AY82" i="23"/>
  <c r="AI82" i="23"/>
  <c r="BA86" i="23"/>
  <c r="AW86" i="23"/>
  <c r="AS86" i="23"/>
  <c r="AO86" i="23"/>
  <c r="AK86" i="23"/>
  <c r="BD86" i="23"/>
  <c r="AZ86" i="23"/>
  <c r="AV86" i="23"/>
  <c r="AR86" i="23"/>
  <c r="AN86" i="23"/>
  <c r="AJ86" i="23"/>
  <c r="BB86" i="23"/>
  <c r="AX86" i="23"/>
  <c r="AT86" i="23"/>
  <c r="AP86" i="23"/>
  <c r="AL86" i="23"/>
  <c r="AU86" i="23"/>
  <c r="AQ86" i="23"/>
  <c r="BC86" i="23"/>
  <c r="AM86" i="23"/>
  <c r="AY86" i="23"/>
  <c r="AI86" i="23"/>
  <c r="BA90" i="23"/>
  <c r="AW90" i="23"/>
  <c r="AS90" i="23"/>
  <c r="AO90" i="23"/>
  <c r="AK90" i="23"/>
  <c r="BD90" i="23"/>
  <c r="AZ90" i="23"/>
  <c r="AV90" i="23"/>
  <c r="AR90" i="23"/>
  <c r="AN90" i="23"/>
  <c r="AJ90" i="23"/>
  <c r="BC90" i="23"/>
  <c r="AY90" i="23"/>
  <c r="AU90" i="23"/>
  <c r="AQ90" i="23"/>
  <c r="AM90" i="23"/>
  <c r="AI90" i="23"/>
  <c r="BB90" i="23"/>
  <c r="AX90" i="23"/>
  <c r="AT90" i="23"/>
  <c r="AP90" i="23"/>
  <c r="AL90" i="23"/>
  <c r="BA94" i="23"/>
  <c r="AW94" i="23"/>
  <c r="AS94" i="23"/>
  <c r="AO94" i="23"/>
  <c r="AK94" i="23"/>
  <c r="BD94" i="23"/>
  <c r="AZ94" i="23"/>
  <c r="AV94" i="23"/>
  <c r="AR94" i="23"/>
  <c r="AN94" i="23"/>
  <c r="AJ94" i="23"/>
  <c r="BC94" i="23"/>
  <c r="AY94" i="23"/>
  <c r="AU94" i="23"/>
  <c r="AQ94" i="23"/>
  <c r="AM94" i="23"/>
  <c r="AI94" i="23"/>
  <c r="BB94" i="23"/>
  <c r="AX94" i="23"/>
  <c r="AT94" i="23"/>
  <c r="AP94" i="23"/>
  <c r="AL94" i="23"/>
  <c r="BA98" i="23"/>
  <c r="AW98" i="23"/>
  <c r="AS98" i="23"/>
  <c r="AO98" i="23"/>
  <c r="AK98" i="23"/>
  <c r="BD98" i="23"/>
  <c r="AZ98" i="23"/>
  <c r="AV98" i="23"/>
  <c r="AR98" i="23"/>
  <c r="AN98" i="23"/>
  <c r="AJ98" i="23"/>
  <c r="BC98" i="23"/>
  <c r="AY98" i="23"/>
  <c r="AU98" i="23"/>
  <c r="AQ98" i="23"/>
  <c r="AM98" i="23"/>
  <c r="AI98" i="23"/>
  <c r="BB98" i="23"/>
  <c r="AX98" i="23"/>
  <c r="AT98" i="23"/>
  <c r="AP98" i="23"/>
  <c r="AL98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BC102" i="23"/>
  <c r="AY102" i="23"/>
  <c r="AU102" i="23"/>
  <c r="AQ102" i="23"/>
  <c r="AM102" i="23"/>
  <c r="AI102" i="23"/>
  <c r="BB102" i="23"/>
  <c r="AX102" i="23"/>
  <c r="AT102" i="23"/>
  <c r="AP102" i="23"/>
  <c r="AL102" i="23"/>
  <c r="AM57" i="23"/>
  <c r="AU57" i="23"/>
  <c r="BC57" i="23"/>
  <c r="AI58" i="23"/>
  <c r="AQ58" i="23"/>
  <c r="AY58" i="23"/>
  <c r="AM59" i="23"/>
  <c r="AU59" i="23"/>
  <c r="AI60" i="23"/>
  <c r="AQ60" i="23"/>
  <c r="AY60" i="23"/>
  <c r="AM61" i="23"/>
  <c r="AU61" i="23"/>
  <c r="BC61" i="23"/>
  <c r="AI62" i="23"/>
  <c r="AQ62" i="23"/>
  <c r="AY62" i="23"/>
  <c r="AM63" i="23"/>
  <c r="AU63" i="23"/>
  <c r="AI64" i="23"/>
  <c r="AQ64" i="23"/>
  <c r="AY64" i="23"/>
  <c r="AM65" i="23"/>
  <c r="AU65" i="23"/>
  <c r="BC65" i="23"/>
  <c r="AI66" i="23"/>
  <c r="AQ66" i="23"/>
  <c r="AY66" i="23"/>
  <c r="AM67" i="23"/>
  <c r="BA59" i="23"/>
  <c r="AW59" i="23"/>
  <c r="P8" i="25" s="1"/>
  <c r="AS59" i="23"/>
  <c r="AO59" i="23"/>
  <c r="H8" i="25" s="1"/>
  <c r="AK59" i="23"/>
  <c r="BB59" i="23"/>
  <c r="AX59" i="23"/>
  <c r="AT59" i="23"/>
  <c r="AP59" i="23"/>
  <c r="AL59" i="23"/>
  <c r="E8" i="25" s="1"/>
  <c r="BA63" i="23"/>
  <c r="AW63" i="23"/>
  <c r="AS63" i="23"/>
  <c r="AO63" i="23"/>
  <c r="AK63" i="23"/>
  <c r="BB63" i="23"/>
  <c r="AX63" i="23"/>
  <c r="AT63" i="23"/>
  <c r="AP63" i="23"/>
  <c r="AL63" i="23"/>
  <c r="BA67" i="23"/>
  <c r="AW67" i="23"/>
  <c r="AS67" i="23"/>
  <c r="AO67" i="23"/>
  <c r="AK67" i="23"/>
  <c r="BD67" i="23"/>
  <c r="BC67" i="23"/>
  <c r="BB67" i="23"/>
  <c r="AX67" i="23"/>
  <c r="AT67" i="23"/>
  <c r="AP67" i="23"/>
  <c r="AL67" i="23"/>
  <c r="BA71" i="23"/>
  <c r="AW71" i="23"/>
  <c r="AS71" i="23"/>
  <c r="AO71" i="23"/>
  <c r="AK71" i="23"/>
  <c r="BD71" i="23"/>
  <c r="AZ71" i="23"/>
  <c r="AV71" i="23"/>
  <c r="AR71" i="23"/>
  <c r="AN71" i="23"/>
  <c r="AJ71" i="23"/>
  <c r="BC71" i="23"/>
  <c r="AY71" i="23"/>
  <c r="AU71" i="23"/>
  <c r="AQ71" i="23"/>
  <c r="AM71" i="23"/>
  <c r="AI71" i="23"/>
  <c r="BB71" i="23"/>
  <c r="AX71" i="23"/>
  <c r="AT71" i="23"/>
  <c r="AP71" i="23"/>
  <c r="AL71" i="23"/>
  <c r="BA75" i="23"/>
  <c r="AW75" i="23"/>
  <c r="AS75" i="23"/>
  <c r="AO75" i="23"/>
  <c r="AK75" i="23"/>
  <c r="P75" i="23"/>
  <c r="BD75" i="23"/>
  <c r="AZ75" i="23"/>
  <c r="AV75" i="23"/>
  <c r="AR75" i="23"/>
  <c r="AN75" i="23"/>
  <c r="AJ75" i="23"/>
  <c r="BC75" i="23"/>
  <c r="AY75" i="23"/>
  <c r="AU75" i="23"/>
  <c r="AQ75" i="23"/>
  <c r="AM75" i="23"/>
  <c r="AI75" i="23"/>
  <c r="R75" i="23"/>
  <c r="BB75" i="23"/>
  <c r="AX75" i="23"/>
  <c r="AT75" i="23"/>
  <c r="AP75" i="23"/>
  <c r="AL75" i="23"/>
  <c r="BA79" i="23"/>
  <c r="AW79" i="23"/>
  <c r="AS79" i="23"/>
  <c r="AO79" i="23"/>
  <c r="AK79" i="23"/>
  <c r="P79" i="23"/>
  <c r="BD79" i="23"/>
  <c r="AZ79" i="23"/>
  <c r="AV79" i="23"/>
  <c r="AR79" i="23"/>
  <c r="AN79" i="23"/>
  <c r="AJ79" i="23"/>
  <c r="BC79" i="23"/>
  <c r="AY79" i="23"/>
  <c r="AU79" i="23"/>
  <c r="AQ79" i="23"/>
  <c r="AM79" i="23"/>
  <c r="AI79" i="23"/>
  <c r="R79" i="23"/>
  <c r="BB79" i="23"/>
  <c r="AX79" i="23"/>
  <c r="AT79" i="23"/>
  <c r="AP79" i="23"/>
  <c r="AL79" i="23"/>
  <c r="BA83" i="23"/>
  <c r="AW83" i="23"/>
  <c r="AS83" i="23"/>
  <c r="AO83" i="23"/>
  <c r="AK83" i="23"/>
  <c r="BD83" i="23"/>
  <c r="AZ83" i="23"/>
  <c r="AV83" i="23"/>
  <c r="AR83" i="23"/>
  <c r="AN83" i="23"/>
  <c r="AJ83" i="23"/>
  <c r="BB83" i="23"/>
  <c r="AX83" i="23"/>
  <c r="AT83" i="23"/>
  <c r="AP83" i="23"/>
  <c r="AL83" i="23"/>
  <c r="AY83" i="23"/>
  <c r="AI83" i="23"/>
  <c r="AU83" i="23"/>
  <c r="AQ83" i="23"/>
  <c r="BC83" i="23"/>
  <c r="AM83" i="23"/>
  <c r="BA87" i="23"/>
  <c r="AW87" i="23"/>
  <c r="AS87" i="23"/>
  <c r="AO87" i="23"/>
  <c r="AK87" i="23"/>
  <c r="BD87" i="23"/>
  <c r="AZ87" i="23"/>
  <c r="AV87" i="23"/>
  <c r="AR87" i="23"/>
  <c r="AN87" i="23"/>
  <c r="AJ87" i="23"/>
  <c r="BB87" i="23"/>
  <c r="AX87" i="23"/>
  <c r="AT87" i="23"/>
  <c r="AP87" i="23"/>
  <c r="AL87" i="23"/>
  <c r="AY87" i="23"/>
  <c r="AI87" i="23"/>
  <c r="AU87" i="23"/>
  <c r="AQ87" i="23"/>
  <c r="BC87" i="23"/>
  <c r="AM87" i="23"/>
  <c r="BA91" i="23"/>
  <c r="AW91" i="23"/>
  <c r="AS91" i="23"/>
  <c r="AO91" i="23"/>
  <c r="AK91" i="23"/>
  <c r="BD91" i="23"/>
  <c r="AZ91" i="23"/>
  <c r="AV91" i="23"/>
  <c r="AR91" i="23"/>
  <c r="AN91" i="23"/>
  <c r="AJ91" i="23"/>
  <c r="BC91" i="23"/>
  <c r="AY91" i="23"/>
  <c r="AU91" i="23"/>
  <c r="AQ91" i="23"/>
  <c r="AM91" i="23"/>
  <c r="AI91" i="23"/>
  <c r="BB91" i="23"/>
  <c r="AX91" i="23"/>
  <c r="AT91" i="23"/>
  <c r="AP91" i="23"/>
  <c r="AL91" i="23"/>
  <c r="BA95" i="23"/>
  <c r="AW95" i="23"/>
  <c r="AS95" i="23"/>
  <c r="AO95" i="23"/>
  <c r="AK95" i="23"/>
  <c r="BD95" i="23"/>
  <c r="AZ95" i="23"/>
  <c r="AV95" i="23"/>
  <c r="AR95" i="23"/>
  <c r="AN95" i="23"/>
  <c r="AJ95" i="23"/>
  <c r="BC95" i="23"/>
  <c r="AY95" i="23"/>
  <c r="AU95" i="23"/>
  <c r="AQ95" i="23"/>
  <c r="AM95" i="23"/>
  <c r="AI95" i="23"/>
  <c r="BB95" i="23"/>
  <c r="AX95" i="23"/>
  <c r="AT95" i="23"/>
  <c r="AP95" i="23"/>
  <c r="AL95" i="23"/>
  <c r="BA99" i="23"/>
  <c r="AW99" i="23"/>
  <c r="AS99" i="23"/>
  <c r="AO99" i="23"/>
  <c r="AK99" i="23"/>
  <c r="BD99" i="23"/>
  <c r="AZ99" i="23"/>
  <c r="AV99" i="23"/>
  <c r="AR99" i="23"/>
  <c r="AN99" i="23"/>
  <c r="AJ99" i="23"/>
  <c r="BC99" i="23"/>
  <c r="AY99" i="23"/>
  <c r="AU99" i="23"/>
  <c r="AQ99" i="23"/>
  <c r="AM99" i="23"/>
  <c r="AI99" i="23"/>
  <c r="BB99" i="23"/>
  <c r="AX99" i="23"/>
  <c r="AT99" i="23"/>
  <c r="AP99" i="23"/>
  <c r="AL99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BC103" i="23"/>
  <c r="AY103" i="23"/>
  <c r="AU103" i="23"/>
  <c r="AQ103" i="23"/>
  <c r="AM103" i="23"/>
  <c r="AI103" i="23"/>
  <c r="BB103" i="23"/>
  <c r="AX103" i="23"/>
  <c r="AT103" i="23"/>
  <c r="AP103" i="23"/>
  <c r="AL103" i="23"/>
  <c r="AN57" i="23"/>
  <c r="G8" i="25" s="1"/>
  <c r="AV57" i="23"/>
  <c r="BD57" i="23"/>
  <c r="AJ58" i="23"/>
  <c r="C8" i="25" s="1"/>
  <c r="AR58" i="23"/>
  <c r="AZ58" i="23"/>
  <c r="AN59" i="23"/>
  <c r="AV59" i="23"/>
  <c r="BD59" i="23"/>
  <c r="AJ60" i="23"/>
  <c r="AR60" i="23"/>
  <c r="AN61" i="23"/>
  <c r="AV61" i="23"/>
  <c r="BD61" i="23"/>
  <c r="AJ62" i="23"/>
  <c r="AR62" i="23"/>
  <c r="AZ62" i="23"/>
  <c r="AN63" i="23"/>
  <c r="AV63" i="23"/>
  <c r="BD63" i="23"/>
  <c r="AJ64" i="23"/>
  <c r="AR64" i="23"/>
  <c r="AN65" i="23"/>
  <c r="AV65" i="23"/>
  <c r="BD65" i="23"/>
  <c r="AJ66" i="23"/>
  <c r="AR66" i="23"/>
  <c r="AZ66" i="23"/>
  <c r="AN67" i="23"/>
  <c r="AV67" i="23"/>
  <c r="BA60" i="23"/>
  <c r="AW60" i="23"/>
  <c r="AS60" i="23"/>
  <c r="AO60" i="23"/>
  <c r="AK60" i="23"/>
  <c r="BB60" i="23"/>
  <c r="AX60" i="23"/>
  <c r="AT60" i="23"/>
  <c r="AP60" i="23"/>
  <c r="AL60" i="23"/>
  <c r="BA64" i="23"/>
  <c r="AW64" i="23"/>
  <c r="AS64" i="23"/>
  <c r="AO64" i="23"/>
  <c r="AK64" i="23"/>
  <c r="BB64" i="23"/>
  <c r="AX64" i="23"/>
  <c r="AT64" i="23"/>
  <c r="AP64" i="23"/>
  <c r="AL64" i="23"/>
  <c r="BA68" i="23"/>
  <c r="AW68" i="23"/>
  <c r="AS68" i="23"/>
  <c r="AO68" i="23"/>
  <c r="AK68" i="23"/>
  <c r="BD68" i="23"/>
  <c r="AZ68" i="23"/>
  <c r="AV68" i="23"/>
  <c r="AR68" i="23"/>
  <c r="AN68" i="23"/>
  <c r="AJ68" i="23"/>
  <c r="BC68" i="23"/>
  <c r="AY68" i="23"/>
  <c r="AU68" i="23"/>
  <c r="AQ68" i="23"/>
  <c r="AM68" i="23"/>
  <c r="AI68" i="23"/>
  <c r="BB68" i="23"/>
  <c r="AX68" i="23"/>
  <c r="AT68" i="23"/>
  <c r="AP68" i="23"/>
  <c r="AL68" i="23"/>
  <c r="BA72" i="23"/>
  <c r="AW72" i="23"/>
  <c r="AS72" i="23"/>
  <c r="AO72" i="23"/>
  <c r="AK72" i="23"/>
  <c r="BD72" i="23"/>
  <c r="AZ72" i="23"/>
  <c r="AV72" i="23"/>
  <c r="AR72" i="23"/>
  <c r="AN72" i="23"/>
  <c r="AJ72" i="23"/>
  <c r="BC72" i="23"/>
  <c r="AY72" i="23"/>
  <c r="AU72" i="23"/>
  <c r="AQ72" i="23"/>
  <c r="AM72" i="23"/>
  <c r="AI72" i="23"/>
  <c r="BB72" i="23"/>
  <c r="AX72" i="23"/>
  <c r="AT72" i="23"/>
  <c r="AP72" i="23"/>
  <c r="AL72" i="23"/>
  <c r="BA76" i="23"/>
  <c r="AW76" i="23"/>
  <c r="AS76" i="23"/>
  <c r="AO76" i="23"/>
  <c r="AK76" i="23"/>
  <c r="P76" i="23"/>
  <c r="BD76" i="23"/>
  <c r="AZ76" i="23"/>
  <c r="AV76" i="23"/>
  <c r="AR76" i="23"/>
  <c r="AN76" i="23"/>
  <c r="AJ76" i="23"/>
  <c r="BC76" i="23"/>
  <c r="AY76" i="23"/>
  <c r="AU76" i="23"/>
  <c r="AQ76" i="23"/>
  <c r="AM76" i="23"/>
  <c r="AI76" i="23"/>
  <c r="R76" i="23"/>
  <c r="BB76" i="23"/>
  <c r="AX76" i="23"/>
  <c r="AT76" i="23"/>
  <c r="AP76" i="23"/>
  <c r="AL76" i="23"/>
  <c r="BA80" i="23"/>
  <c r="BB80" i="23"/>
  <c r="BC80" i="23"/>
  <c r="AW80" i="23"/>
  <c r="AS80" i="23"/>
  <c r="AO80" i="23"/>
  <c r="AK80" i="23"/>
  <c r="P80" i="23"/>
  <c r="AZ80" i="23"/>
  <c r="AV80" i="23"/>
  <c r="AR80" i="23"/>
  <c r="AN80" i="23"/>
  <c r="AJ80" i="23"/>
  <c r="AY80" i="23"/>
  <c r="AU80" i="23"/>
  <c r="AQ80" i="23"/>
  <c r="AM80" i="23"/>
  <c r="AI80" i="23"/>
  <c r="R80" i="23"/>
  <c r="BD80" i="23"/>
  <c r="AX80" i="23"/>
  <c r="AT80" i="23"/>
  <c r="AP80" i="23"/>
  <c r="AL80" i="23"/>
  <c r="BA84" i="23"/>
  <c r="AW84" i="23"/>
  <c r="AS84" i="23"/>
  <c r="AO84" i="23"/>
  <c r="AK84" i="23"/>
  <c r="BD84" i="23"/>
  <c r="AZ84" i="23"/>
  <c r="AV84" i="23"/>
  <c r="AR84" i="23"/>
  <c r="AN84" i="23"/>
  <c r="AJ84" i="23"/>
  <c r="BB84" i="23"/>
  <c r="AX84" i="23"/>
  <c r="AT84" i="23"/>
  <c r="AP84" i="23"/>
  <c r="AL84" i="23"/>
  <c r="BC84" i="23"/>
  <c r="AM84" i="23"/>
  <c r="AY84" i="23"/>
  <c r="AI84" i="23"/>
  <c r="AU84" i="23"/>
  <c r="AQ84" i="23"/>
  <c r="BA88" i="23"/>
  <c r="AW88" i="23"/>
  <c r="AS88" i="23"/>
  <c r="AO88" i="23"/>
  <c r="AK88" i="23"/>
  <c r="BD88" i="23"/>
  <c r="AZ88" i="23"/>
  <c r="AV88" i="23"/>
  <c r="AR88" i="23"/>
  <c r="AN88" i="23"/>
  <c r="AJ88" i="23"/>
  <c r="BB88" i="23"/>
  <c r="AX88" i="23"/>
  <c r="AT88" i="23"/>
  <c r="AP88" i="23"/>
  <c r="AL88" i="23"/>
  <c r="BC88" i="23"/>
  <c r="AM88" i="23"/>
  <c r="AY88" i="23"/>
  <c r="AI88" i="23"/>
  <c r="AU88" i="23"/>
  <c r="AQ88" i="23"/>
  <c r="BA92" i="23"/>
  <c r="AW92" i="23"/>
  <c r="AS92" i="23"/>
  <c r="AO92" i="23"/>
  <c r="AK92" i="23"/>
  <c r="BD92" i="23"/>
  <c r="AZ92" i="23"/>
  <c r="AV92" i="23"/>
  <c r="AR92" i="23"/>
  <c r="AN92" i="23"/>
  <c r="AJ92" i="23"/>
  <c r="BC92" i="23"/>
  <c r="AY92" i="23"/>
  <c r="AU92" i="23"/>
  <c r="AQ92" i="23"/>
  <c r="AM92" i="23"/>
  <c r="AI92" i="23"/>
  <c r="BB92" i="23"/>
  <c r="AX92" i="23"/>
  <c r="AT92" i="23"/>
  <c r="AP92" i="23"/>
  <c r="AL92" i="23"/>
  <c r="BA96" i="23"/>
  <c r="AW96" i="23"/>
  <c r="AS96" i="23"/>
  <c r="AO96" i="23"/>
  <c r="AK96" i="23"/>
  <c r="BD96" i="23"/>
  <c r="AZ96" i="23"/>
  <c r="AV96" i="23"/>
  <c r="AR96" i="23"/>
  <c r="AN96" i="23"/>
  <c r="AJ96" i="23"/>
  <c r="BC96" i="23"/>
  <c r="AY96" i="23"/>
  <c r="AU96" i="23"/>
  <c r="AQ96" i="23"/>
  <c r="AM96" i="23"/>
  <c r="AI96" i="23"/>
  <c r="BB96" i="23"/>
  <c r="AX96" i="23"/>
  <c r="AT96" i="23"/>
  <c r="AP96" i="23"/>
  <c r="AL96" i="23"/>
  <c r="BA100" i="23"/>
  <c r="AW100" i="23"/>
  <c r="AS100" i="23"/>
  <c r="AO100" i="23"/>
  <c r="AK100" i="23"/>
  <c r="BD100" i="23"/>
  <c r="AZ100" i="23"/>
  <c r="AV100" i="23"/>
  <c r="AR100" i="23"/>
  <c r="AN100" i="23"/>
  <c r="AJ100" i="23"/>
  <c r="BC100" i="23"/>
  <c r="AY100" i="23"/>
  <c r="AU100" i="23"/>
  <c r="AQ100" i="23"/>
  <c r="AM100" i="23"/>
  <c r="AI100" i="23"/>
  <c r="BB100" i="23"/>
  <c r="AX100" i="23"/>
  <c r="AT100" i="23"/>
  <c r="AP100" i="23"/>
  <c r="AL100" i="23"/>
  <c r="AI57" i="23"/>
  <c r="AQ57" i="23"/>
  <c r="AY57" i="23"/>
  <c r="AM58" i="23"/>
  <c r="AU58" i="23"/>
  <c r="BC58" i="23"/>
  <c r="AI59" i="23"/>
  <c r="AQ59" i="23"/>
  <c r="AY59" i="23"/>
  <c r="AM60" i="23"/>
  <c r="AU60" i="23"/>
  <c r="BC60" i="23"/>
  <c r="AI61" i="23"/>
  <c r="AQ61" i="23"/>
  <c r="AY61" i="23"/>
  <c r="AM62" i="23"/>
  <c r="AU62" i="23"/>
  <c r="BC62" i="23"/>
  <c r="AI63" i="23"/>
  <c r="AQ63" i="23"/>
  <c r="AY63" i="23"/>
  <c r="AM64" i="23"/>
  <c r="AU64" i="23"/>
  <c r="BC64" i="23"/>
  <c r="AI65" i="23"/>
  <c r="AQ65" i="23"/>
  <c r="AY65" i="23"/>
  <c r="AM66" i="23"/>
  <c r="AU66" i="23"/>
  <c r="BC66" i="23"/>
  <c r="AI67" i="23"/>
  <c r="AQ67" i="23"/>
  <c r="AY67" i="23"/>
  <c r="AH56" i="24"/>
  <c r="AD56" i="24"/>
  <c r="Z56" i="24"/>
  <c r="AH60" i="24"/>
  <c r="AD60" i="24"/>
  <c r="Z60" i="24"/>
  <c r="AE60" i="24"/>
  <c r="AA60" i="24"/>
  <c r="AE64" i="24"/>
  <c r="AA64" i="24"/>
  <c r="AF64" i="24"/>
  <c r="Z64" i="24"/>
  <c r="AG64" i="24"/>
  <c r="AB64" i="24"/>
  <c r="AE68" i="24"/>
  <c r="AA68" i="24"/>
  <c r="AH68" i="24"/>
  <c r="AC68" i="24"/>
  <c r="X68" i="24"/>
  <c r="AD68" i="24"/>
  <c r="Y68" i="24"/>
  <c r="AE72" i="24"/>
  <c r="AA72" i="24"/>
  <c r="AF72" i="24"/>
  <c r="Z72" i="24"/>
  <c r="AG72" i="24"/>
  <c r="AB72" i="24"/>
  <c r="AE76" i="24"/>
  <c r="AA76" i="24"/>
  <c r="AH76" i="24"/>
  <c r="AD76" i="24"/>
  <c r="Z76" i="24"/>
  <c r="AC76" i="24"/>
  <c r="AF76" i="24"/>
  <c r="AG76" i="24"/>
  <c r="X76" i="24"/>
  <c r="AG80" i="24"/>
  <c r="AC80" i="24"/>
  <c r="AE80" i="24"/>
  <c r="AA80" i="24"/>
  <c r="AH80" i="24"/>
  <c r="AD80" i="24"/>
  <c r="Z80" i="24"/>
  <c r="AF80" i="24"/>
  <c r="X80" i="24"/>
  <c r="Y80" i="24"/>
  <c r="AB80" i="24"/>
  <c r="Z47" i="24"/>
  <c r="AD47" i="24"/>
  <c r="AH47" i="24"/>
  <c r="X48" i="24"/>
  <c r="AB48" i="24"/>
  <c r="AF48" i="24"/>
  <c r="Z49" i="24"/>
  <c r="AD49" i="24"/>
  <c r="AH49" i="24"/>
  <c r="X50" i="24"/>
  <c r="AB50" i="24"/>
  <c r="AF50" i="24"/>
  <c r="Z51" i="24"/>
  <c r="AD51" i="24"/>
  <c r="AH51" i="24"/>
  <c r="X52" i="24"/>
  <c r="AB52" i="24"/>
  <c r="AF52" i="24"/>
  <c r="Z53" i="24"/>
  <c r="AD53" i="24"/>
  <c r="AH53" i="24"/>
  <c r="X54" i="24"/>
  <c r="AB54" i="24"/>
  <c r="AF54" i="24"/>
  <c r="Z55" i="24"/>
  <c r="AD55" i="24"/>
  <c r="AH55" i="24"/>
  <c r="Y56" i="24"/>
  <c r="AE56" i="24"/>
  <c r="Y57" i="24"/>
  <c r="AC58" i="24"/>
  <c r="AE59" i="24"/>
  <c r="Y60" i="24"/>
  <c r="AG60" i="24"/>
  <c r="AF62" i="24"/>
  <c r="AE63" i="24"/>
  <c r="AD64" i="24"/>
  <c r="AC66" i="24"/>
  <c r="AB67" i="24"/>
  <c r="AB68" i="24"/>
  <c r="Z70" i="24"/>
  <c r="Z71" i="24"/>
  <c r="Y72" i="24"/>
  <c r="AC74" i="24"/>
  <c r="AD75" i="24"/>
  <c r="AB76" i="24"/>
  <c r="AF78" i="24"/>
  <c r="AF57" i="24"/>
  <c r="AB57" i="24"/>
  <c r="X57" i="24"/>
  <c r="AF61" i="24"/>
  <c r="AB61" i="24"/>
  <c r="X61" i="24"/>
  <c r="AG61" i="24"/>
  <c r="AC61" i="24"/>
  <c r="Y61" i="24"/>
  <c r="AG65" i="24"/>
  <c r="AC65" i="24"/>
  <c r="Y65" i="24"/>
  <c r="AE65" i="24"/>
  <c r="Z65" i="24"/>
  <c r="AF65" i="24"/>
  <c r="AA65" i="24"/>
  <c r="AG69" i="24"/>
  <c r="AC69" i="24"/>
  <c r="Y69" i="24"/>
  <c r="AH69" i="24"/>
  <c r="AB69" i="24"/>
  <c r="AD69" i="24"/>
  <c r="X69" i="24"/>
  <c r="AG73" i="24"/>
  <c r="AC73" i="24"/>
  <c r="Y73" i="24"/>
  <c r="AF73" i="24"/>
  <c r="AB73" i="24"/>
  <c r="X73" i="24"/>
  <c r="AE73" i="24"/>
  <c r="AH73" i="24"/>
  <c r="Z73" i="24"/>
  <c r="AG77" i="24"/>
  <c r="AC77" i="24"/>
  <c r="Y77" i="24"/>
  <c r="AF77" i="24"/>
  <c r="AB77" i="24"/>
  <c r="X77" i="24"/>
  <c r="AE77" i="24"/>
  <c r="AD77" i="24"/>
  <c r="AH77" i="24"/>
  <c r="AE81" i="24"/>
  <c r="AA81" i="24"/>
  <c r="AG81" i="24"/>
  <c r="AC81" i="24"/>
  <c r="Y81" i="24"/>
  <c r="AF81" i="24"/>
  <c r="AB81" i="24"/>
  <c r="X81" i="24"/>
  <c r="Z81" i="24"/>
  <c r="AD81" i="24"/>
  <c r="AH81" i="24"/>
  <c r="AA47" i="24"/>
  <c r="AE47" i="24"/>
  <c r="I8" i="26" s="1"/>
  <c r="Y48" i="24"/>
  <c r="AC48" i="24"/>
  <c r="AG48" i="24"/>
  <c r="K10" i="26" s="1"/>
  <c r="AA49" i="24"/>
  <c r="AE49" i="24"/>
  <c r="Y50" i="24"/>
  <c r="AC50" i="24"/>
  <c r="AG50" i="24"/>
  <c r="AA51" i="24"/>
  <c r="AE51" i="24"/>
  <c r="Y52" i="24"/>
  <c r="AC52" i="24"/>
  <c r="AG52" i="24"/>
  <c r="AA53" i="24"/>
  <c r="AE53" i="24"/>
  <c r="Y54" i="24"/>
  <c r="AC54" i="24"/>
  <c r="AG54" i="24"/>
  <c r="AA55" i="24"/>
  <c r="AE55" i="24"/>
  <c r="AA56" i="24"/>
  <c r="AF56" i="24"/>
  <c r="Z57" i="24"/>
  <c r="AE57" i="24"/>
  <c r="X58" i="24"/>
  <c r="Z59" i="24"/>
  <c r="AH59" i="24"/>
  <c r="AB60" i="24"/>
  <c r="AD61" i="24"/>
  <c r="X63" i="24"/>
  <c r="X64" i="24"/>
  <c r="AH64" i="24"/>
  <c r="AH65" i="24"/>
  <c r="AF67" i="24"/>
  <c r="AF68" i="24"/>
  <c r="AE69" i="24"/>
  <c r="AD71" i="24"/>
  <c r="AC72" i="24"/>
  <c r="AH58" i="24"/>
  <c r="AD58" i="24"/>
  <c r="Z58" i="24"/>
  <c r="AE58" i="24"/>
  <c r="AA58" i="24"/>
  <c r="AE62" i="24"/>
  <c r="AA62" i="24"/>
  <c r="AG62" i="24"/>
  <c r="AB62" i="24"/>
  <c r="AH62" i="24"/>
  <c r="AC62" i="24"/>
  <c r="X62" i="24"/>
  <c r="AE66" i="24"/>
  <c r="AA66" i="24"/>
  <c r="AD66" i="24"/>
  <c r="Y66" i="24"/>
  <c r="AF66" i="24"/>
  <c r="Z66" i="24"/>
  <c r="AE70" i="24"/>
  <c r="AA70" i="24"/>
  <c r="AG70" i="24"/>
  <c r="AB70" i="24"/>
  <c r="AH70" i="24"/>
  <c r="AC70" i="24"/>
  <c r="X70" i="24"/>
  <c r="AE74" i="24"/>
  <c r="AA74" i="24"/>
  <c r="AH74" i="24"/>
  <c r="AD74" i="24"/>
  <c r="Z74" i="24"/>
  <c r="AG74" i="24"/>
  <c r="Y74" i="24"/>
  <c r="AF74" i="24"/>
  <c r="X74" i="24"/>
  <c r="AE78" i="24"/>
  <c r="AA78" i="24"/>
  <c r="AH78" i="24"/>
  <c r="AD78" i="24"/>
  <c r="Z78" i="24"/>
  <c r="AG78" i="24"/>
  <c r="Y78" i="24"/>
  <c r="AB78" i="24"/>
  <c r="X78" i="24"/>
  <c r="AG82" i="24"/>
  <c r="AC82" i="24"/>
  <c r="Y82" i="24"/>
  <c r="AE82" i="24"/>
  <c r="AA82" i="24"/>
  <c r="AH82" i="24"/>
  <c r="AD82" i="24"/>
  <c r="Z82" i="24"/>
  <c r="X82" i="24"/>
  <c r="X47" i="24"/>
  <c r="B8" i="26" s="1"/>
  <c r="AB47" i="24"/>
  <c r="F8" i="26" s="1"/>
  <c r="AF47" i="24"/>
  <c r="Z48" i="24"/>
  <c r="AD48" i="24"/>
  <c r="AH48" i="24"/>
  <c r="L8" i="26" s="1"/>
  <c r="X49" i="24"/>
  <c r="AB49" i="24"/>
  <c r="AF49" i="24"/>
  <c r="Z50" i="24"/>
  <c r="AD50" i="24"/>
  <c r="AH50" i="24"/>
  <c r="X51" i="24"/>
  <c r="AB51" i="24"/>
  <c r="AF51" i="24"/>
  <c r="Z52" i="24"/>
  <c r="AD52" i="24"/>
  <c r="AH52" i="24"/>
  <c r="X53" i="24"/>
  <c r="AB53" i="24"/>
  <c r="AF53" i="24"/>
  <c r="Z54" i="24"/>
  <c r="AD54" i="24"/>
  <c r="AH54" i="24"/>
  <c r="X55" i="24"/>
  <c r="AB55" i="24"/>
  <c r="AF55" i="24"/>
  <c r="AB56" i="24"/>
  <c r="AG56" i="24"/>
  <c r="AA57" i="24"/>
  <c r="AG57" i="24"/>
  <c r="Y58" i="24"/>
  <c r="AG58" i="24"/>
  <c r="AC60" i="24"/>
  <c r="AE61" i="24"/>
  <c r="Z62" i="24"/>
  <c r="Y64" i="24"/>
  <c r="X65" i="24"/>
  <c r="X66" i="24"/>
  <c r="AH66" i="24"/>
  <c r="AG68" i="24"/>
  <c r="AF69" i="24"/>
  <c r="AF70" i="24"/>
  <c r="AD72" i="24"/>
  <c r="AF59" i="24"/>
  <c r="AB59" i="24"/>
  <c r="X59" i="24"/>
  <c r="AG59" i="24"/>
  <c r="AC59" i="24"/>
  <c r="Y59" i="24"/>
  <c r="AG63" i="24"/>
  <c r="AC63" i="24"/>
  <c r="Y63" i="24"/>
  <c r="AF63" i="24"/>
  <c r="AA63" i="24"/>
  <c r="AH63" i="24"/>
  <c r="AB63" i="24"/>
  <c r="AG67" i="24"/>
  <c r="AC67" i="24"/>
  <c r="Y67" i="24"/>
  <c r="AD67" i="24"/>
  <c r="X67" i="24"/>
  <c r="AE67" i="24"/>
  <c r="Z67" i="24"/>
  <c r="AG71" i="24"/>
  <c r="AC71" i="24"/>
  <c r="Y71" i="24"/>
  <c r="AF71" i="24"/>
  <c r="AA71" i="24"/>
  <c r="AH71" i="24"/>
  <c r="AB71" i="24"/>
  <c r="AG75" i="24"/>
  <c r="AC75" i="24"/>
  <c r="Y75" i="24"/>
  <c r="AF75" i="24"/>
  <c r="AB75" i="24"/>
  <c r="X75" i="24"/>
  <c r="AA75" i="24"/>
  <c r="AE75" i="24"/>
  <c r="AH75" i="24"/>
  <c r="AG79" i="24"/>
  <c r="AC79" i="24"/>
  <c r="Y79" i="24"/>
  <c r="AF79" i="24"/>
  <c r="AB79" i="24"/>
  <c r="X79" i="24"/>
  <c r="AA79" i="24"/>
  <c r="AD79" i="24"/>
  <c r="AE79" i="24"/>
  <c r="AH79" i="24"/>
  <c r="AE83" i="24"/>
  <c r="AA83" i="24"/>
  <c r="AG83" i="24"/>
  <c r="AC83" i="24"/>
  <c r="Y83" i="24"/>
  <c r="AF83" i="24"/>
  <c r="AB83" i="24"/>
  <c r="X83" i="24"/>
  <c r="AD83" i="24"/>
  <c r="AH83" i="24"/>
  <c r="Z83" i="24"/>
  <c r="Y47" i="24"/>
  <c r="AC47" i="24"/>
  <c r="AA48" i="24"/>
  <c r="Y49" i="24"/>
  <c r="AC49" i="24"/>
  <c r="AA50" i="24"/>
  <c r="Y51" i="24"/>
  <c r="AC51" i="24"/>
  <c r="AA52" i="24"/>
  <c r="Y53" i="24"/>
  <c r="AC53" i="24"/>
  <c r="AA54" i="24"/>
  <c r="Y55" i="24"/>
  <c r="AC55" i="24"/>
  <c r="X56" i="24"/>
  <c r="AC56" i="24"/>
  <c r="AC57" i="24"/>
  <c r="AH57" i="24"/>
  <c r="AB58" i="24"/>
  <c r="AD59" i="24"/>
  <c r="X60" i="24"/>
  <c r="AF60" i="24"/>
  <c r="Z61" i="24"/>
  <c r="AH61" i="24"/>
  <c r="AD62" i="24"/>
  <c r="AD63" i="24"/>
  <c r="AC64" i="24"/>
  <c r="AB65" i="24"/>
  <c r="AB66" i="24"/>
  <c r="AA67" i="24"/>
  <c r="Z68" i="24"/>
  <c r="Z69" i="24"/>
  <c r="Y70" i="24"/>
  <c r="X71" i="24"/>
  <c r="X72" i="24"/>
  <c r="AH72" i="24"/>
  <c r="AA73" i="24"/>
  <c r="AB74" i="24"/>
  <c r="Z75" i="24"/>
  <c r="Y76" i="24"/>
  <c r="Z77" i="24"/>
  <c r="AC78" i="24"/>
  <c r="AB82" i="24"/>
  <c r="Q8" i="25"/>
  <c r="J8" i="26"/>
  <c r="M8" i="25"/>
  <c r="U8" i="25"/>
  <c r="D8" i="26"/>
  <c r="K8" i="25"/>
  <c r="S8" i="25"/>
  <c r="V8" i="25"/>
  <c r="T8" i="25"/>
  <c r="R8" i="25"/>
  <c r="N8" i="25"/>
  <c r="L8" i="25"/>
  <c r="J8" i="25"/>
  <c r="F8" i="25"/>
  <c r="D8" i="25"/>
  <c r="B8" i="25"/>
  <c r="O8" i="25"/>
  <c r="W8" i="25"/>
  <c r="K8" i="26"/>
  <c r="G8" i="26"/>
  <c r="E8" i="26"/>
  <c r="C8" i="26"/>
  <c r="Z3" i="21"/>
  <c r="Z8" i="21"/>
  <c r="Z13" i="21"/>
  <c r="AH13" i="21" s="1"/>
  <c r="AJ4" i="21"/>
  <c r="Z6" i="21"/>
  <c r="AH6" i="21" s="1"/>
  <c r="Z4" i="21"/>
  <c r="AH4" i="21" s="1"/>
  <c r="AJ8" i="21"/>
  <c r="AJ13" i="21"/>
  <c r="AH3" i="21"/>
  <c r="AH8" i="21"/>
  <c r="Z5" i="21"/>
  <c r="AH5" i="21" s="1"/>
  <c r="AJ5" i="21"/>
  <c r="O2" i="21"/>
  <c r="R9" i="21"/>
  <c r="X9" i="21" s="1"/>
  <c r="AF9" i="21" s="1"/>
  <c r="U10" i="21"/>
  <c r="AI10" i="21" s="1"/>
  <c r="U11" i="21"/>
  <c r="AI11" i="21" s="1"/>
  <c r="X12" i="21"/>
  <c r="AF12" i="21" s="1"/>
  <c r="AJ3" i="21"/>
  <c r="AI6" i="21"/>
  <c r="AJ8" i="16"/>
  <c r="AJ9" i="16" s="1"/>
  <c r="AT5" i="16"/>
  <c r="AT8" i="16" s="1"/>
  <c r="AC202" i="17"/>
  <c r="AC206" i="17"/>
  <c r="AC210" i="17"/>
  <c r="AI6" i="17" s="1"/>
  <c r="AC214" i="17"/>
  <c r="AC218" i="17"/>
  <c r="AC222" i="17"/>
  <c r="AC226" i="17"/>
  <c r="AC230" i="17"/>
  <c r="AC234" i="17"/>
  <c r="AC243" i="17"/>
  <c r="AC249" i="17"/>
  <c r="AC257" i="17"/>
  <c r="AC265" i="17"/>
  <c r="AT7" i="16"/>
  <c r="AC159" i="17"/>
  <c r="AI8" i="17" s="1"/>
  <c r="AC163" i="17"/>
  <c r="AC167" i="17"/>
  <c r="AC171" i="17"/>
  <c r="AC175" i="17"/>
  <c r="AC179" i="17"/>
  <c r="AC183" i="17"/>
  <c r="AC187" i="17"/>
  <c r="AC191" i="17"/>
  <c r="AC195" i="17"/>
  <c r="AC199" i="17"/>
  <c r="AC203" i="17"/>
  <c r="AC207" i="17"/>
  <c r="AC211" i="17"/>
  <c r="AC215" i="17"/>
  <c r="AC219" i="17"/>
  <c r="AC223" i="17"/>
  <c r="AC227" i="17"/>
  <c r="AC231" i="17"/>
  <c r="AC235" i="17"/>
  <c r="AC239" i="17"/>
  <c r="AC244" i="17"/>
  <c r="AC245" i="17"/>
  <c r="AC251" i="17"/>
  <c r="AC259" i="17"/>
  <c r="AC32" i="17"/>
  <c r="AC36" i="17"/>
  <c r="AC76" i="17"/>
  <c r="AC80" i="17"/>
  <c r="AC84" i="17"/>
  <c r="AC160" i="17"/>
  <c r="AC164" i="17"/>
  <c r="AC168" i="17"/>
  <c r="AC172" i="17"/>
  <c r="AC176" i="17"/>
  <c r="AC180" i="17"/>
  <c r="AC184" i="17"/>
  <c r="AC188" i="17"/>
  <c r="AC192" i="17"/>
  <c r="AC196" i="17"/>
  <c r="AC200" i="17"/>
  <c r="AC204" i="17"/>
  <c r="AC208" i="17"/>
  <c r="AC212" i="17"/>
  <c r="AC216" i="17"/>
  <c r="AC220" i="17"/>
  <c r="AC224" i="17"/>
  <c r="AC228" i="17"/>
  <c r="AC232" i="17"/>
  <c r="AC240" i="17"/>
  <c r="AC241" i="17"/>
  <c r="AC252" i="17"/>
  <c r="AC253" i="17"/>
  <c r="AC260" i="17"/>
  <c r="AC261" i="17"/>
  <c r="AC33" i="17"/>
  <c r="AC37" i="17"/>
  <c r="AC77" i="17"/>
  <c r="AC81" i="17"/>
  <c r="AC85" i="17"/>
  <c r="AC161" i="17"/>
  <c r="AC165" i="17"/>
  <c r="AC169" i="17"/>
  <c r="AC173" i="17"/>
  <c r="AC177" i="17"/>
  <c r="AC181" i="17"/>
  <c r="AC185" i="17"/>
  <c r="AC189" i="17"/>
  <c r="AC193" i="17"/>
  <c r="AC197" i="17"/>
  <c r="AC201" i="17"/>
  <c r="AC205" i="17"/>
  <c r="AC209" i="17"/>
  <c r="AC213" i="17"/>
  <c r="AC217" i="17"/>
  <c r="AC221" i="17"/>
  <c r="AC225" i="17"/>
  <c r="AC229" i="17"/>
  <c r="AC233" i="17"/>
  <c r="AC237" i="17"/>
  <c r="AC247" i="17"/>
  <c r="AC255" i="17"/>
  <c r="AC263" i="17"/>
  <c r="AO8" i="16"/>
  <c r="AC248" i="17"/>
  <c r="AC256" i="17"/>
  <c r="AC264" i="17"/>
  <c r="AC238" i="17"/>
  <c r="AC242" i="17"/>
  <c r="AC246" i="17"/>
  <c r="AC250" i="17"/>
  <c r="AC254" i="17"/>
  <c r="AC258" i="17"/>
  <c r="AC262" i="17"/>
  <c r="M51" i="6"/>
  <c r="M12" i="6"/>
  <c r="AI54" i="8"/>
  <c r="AI54" i="9"/>
  <c r="AI54" i="7"/>
  <c r="AA46" i="13"/>
  <c r="AA46" i="12"/>
  <c r="AA46" i="11"/>
  <c r="AA46" i="10"/>
  <c r="AG54" i="8"/>
  <c r="AG54" i="9"/>
  <c r="AG54" i="7"/>
  <c r="AD54" i="8"/>
  <c r="AD54" i="9"/>
  <c r="AD54" i="7"/>
  <c r="AJ54" i="8"/>
  <c r="AJ58" i="8" s="1"/>
  <c r="AJ54" i="9"/>
  <c r="AJ54" i="7"/>
  <c r="AL54" i="8"/>
  <c r="AL54" i="9"/>
  <c r="AL54" i="7"/>
  <c r="W44" i="13"/>
  <c r="W44" i="12"/>
  <c r="W44" i="11"/>
  <c r="W44" i="10"/>
  <c r="Z56" i="9"/>
  <c r="Z56" i="8"/>
  <c r="F18" i="5"/>
  <c r="AL56" i="9"/>
  <c r="AL56" i="8"/>
  <c r="AL56" i="7"/>
  <c r="W46" i="13"/>
  <c r="W46" i="12"/>
  <c r="W46" i="11"/>
  <c r="W46" i="10"/>
  <c r="AA45" i="13"/>
  <c r="AA45" i="12"/>
  <c r="AA45" i="10"/>
  <c r="AA45" i="11"/>
  <c r="U56" i="9"/>
  <c r="U56" i="8"/>
  <c r="U56" i="7"/>
  <c r="U46" i="13"/>
  <c r="U46" i="12"/>
  <c r="U46" i="11"/>
  <c r="U46" i="10"/>
  <c r="AH55" i="9"/>
  <c r="AH55" i="8"/>
  <c r="AI56" i="9"/>
  <c r="AI56" i="8"/>
  <c r="Z44" i="13"/>
  <c r="Z44" i="12"/>
  <c r="Z44" i="11"/>
  <c r="Z44" i="10"/>
  <c r="Z58" i="6"/>
  <c r="AF54" i="9"/>
  <c r="AF54" i="8"/>
  <c r="AF54" i="7"/>
  <c r="AI58" i="6"/>
  <c r="Z54" i="8"/>
  <c r="Z58" i="8" s="1"/>
  <c r="Z54" i="9"/>
  <c r="Z54" i="7"/>
  <c r="AI56" i="7"/>
  <c r="AG56" i="9"/>
  <c r="AG56" i="8"/>
  <c r="AG56" i="7"/>
  <c r="Y44" i="13"/>
  <c r="Y44" i="12"/>
  <c r="Y44" i="11"/>
  <c r="Y44" i="10"/>
  <c r="V56" i="9"/>
  <c r="V56" i="8"/>
  <c r="W54" i="8"/>
  <c r="W58" i="8" s="1"/>
  <c r="W54" i="9"/>
  <c r="W54" i="7"/>
  <c r="AH56" i="9"/>
  <c r="AH56" i="8"/>
  <c r="AH56" i="7"/>
  <c r="Z45" i="13"/>
  <c r="Z45" i="12"/>
  <c r="Z45" i="11"/>
  <c r="Z45" i="10"/>
  <c r="M54" i="8"/>
  <c r="M58" i="8" s="1"/>
  <c r="M54" i="9"/>
  <c r="M54" i="7"/>
  <c r="R54" i="8"/>
  <c r="R58" i="8" s="1"/>
  <c r="R54" i="9"/>
  <c r="R54" i="7"/>
  <c r="U58" i="6"/>
  <c r="AC54" i="8"/>
  <c r="AC58" i="8" s="1"/>
  <c r="AC54" i="9"/>
  <c r="AC54" i="7"/>
  <c r="AD57" i="6"/>
  <c r="AH57" i="6"/>
  <c r="AH55" i="7"/>
  <c r="AB54" i="8"/>
  <c r="AB54" i="9"/>
  <c r="AB54" i="7"/>
  <c r="Y46" i="13"/>
  <c r="Y46" i="12"/>
  <c r="Y46" i="10"/>
  <c r="Y46" i="11"/>
  <c r="L54" i="8"/>
  <c r="L58" i="8" s="1"/>
  <c r="L54" i="9"/>
  <c r="L54" i="7"/>
  <c r="Q54" i="8"/>
  <c r="Q58" i="8" s="1"/>
  <c r="Q54" i="9"/>
  <c r="Q54" i="7"/>
  <c r="X54" i="8"/>
  <c r="X58" i="8" s="1"/>
  <c r="X54" i="9"/>
  <c r="X54" i="7"/>
  <c r="AE54" i="8"/>
  <c r="AE54" i="9"/>
  <c r="AE54" i="7"/>
  <c r="AH58" i="6"/>
  <c r="V56" i="7"/>
  <c r="Z56" i="7"/>
  <c r="AD55" i="9"/>
  <c r="AD55" i="8"/>
  <c r="F37" i="5"/>
  <c r="R46" i="13"/>
  <c r="R46" i="12"/>
  <c r="R46" i="11"/>
  <c r="R46" i="10"/>
  <c r="AJ55" i="9"/>
  <c r="AJ55" i="8"/>
  <c r="AJ55" i="7"/>
  <c r="Z46" i="13"/>
  <c r="Z46" i="12"/>
  <c r="Z46" i="11"/>
  <c r="Z46" i="10"/>
  <c r="AB55" i="9"/>
  <c r="AB55" i="8"/>
  <c r="AD56" i="9"/>
  <c r="AD56" i="8"/>
  <c r="AD58" i="6"/>
  <c r="E28" i="5"/>
  <c r="W45" i="13"/>
  <c r="W45" i="12"/>
  <c r="W45" i="10"/>
  <c r="W45" i="11"/>
  <c r="AA44" i="13"/>
  <c r="AA44" i="12"/>
  <c r="AA44" i="10"/>
  <c r="AA44" i="11"/>
  <c r="AA56" i="9"/>
  <c r="AA56" i="8"/>
  <c r="AH54" i="8"/>
  <c r="AH54" i="9"/>
  <c r="AH54" i="7"/>
  <c r="AI55" i="9"/>
  <c r="AI55" i="8"/>
  <c r="AI57" i="6"/>
  <c r="AJ56" i="9"/>
  <c r="AJ56" i="8"/>
  <c r="AJ56" i="7"/>
  <c r="AJ58" i="6"/>
  <c r="P54" i="8"/>
  <c r="P58" i="8" s="1"/>
  <c r="P54" i="9"/>
  <c r="P54" i="7"/>
  <c r="U54" i="8"/>
  <c r="U58" i="8" s="1"/>
  <c r="U54" i="9"/>
  <c r="U54" i="7"/>
  <c r="V58" i="6"/>
  <c r="AB57" i="6"/>
  <c r="AK54" i="8"/>
  <c r="AK58" i="8" s="1"/>
  <c r="AK54" i="9"/>
  <c r="AK54" i="7"/>
  <c r="AL58" i="6"/>
  <c r="AA56" i="7"/>
  <c r="O54" i="8"/>
  <c r="O58" i="8" s="1"/>
  <c r="O54" i="9"/>
  <c r="O54" i="7"/>
  <c r="S54" i="8"/>
  <c r="S54" i="9"/>
  <c r="S54" i="7"/>
  <c r="AA54" i="8"/>
  <c r="AA58" i="8" s="1"/>
  <c r="AA50" i="9" s="1"/>
  <c r="AA54" i="9"/>
  <c r="AA54" i="7"/>
  <c r="P48" i="12"/>
  <c r="M48" i="12"/>
  <c r="X43" i="11"/>
  <c r="M47" i="10"/>
  <c r="M47" i="11" s="1"/>
  <c r="O47" i="10"/>
  <c r="O47" i="11" s="1"/>
  <c r="U47" i="10"/>
  <c r="U47" i="11" s="1"/>
  <c r="X47" i="10"/>
  <c r="L43" i="10"/>
  <c r="N43" i="10"/>
  <c r="P43" i="10"/>
  <c r="S43" i="10"/>
  <c r="T43" i="10"/>
  <c r="V43" i="10"/>
  <c r="Y43" i="10"/>
  <c r="Z43" i="10"/>
  <c r="N47" i="10"/>
  <c r="N47" i="11" s="1"/>
  <c r="P47" i="10"/>
  <c r="T47" i="10"/>
  <c r="V47" i="10"/>
  <c r="V47" i="11" s="1"/>
  <c r="Z47" i="10"/>
  <c r="M43" i="10"/>
  <c r="O43" i="10"/>
  <c r="Q43" i="10"/>
  <c r="R43" i="10"/>
  <c r="U43" i="10"/>
  <c r="W43" i="10"/>
  <c r="X43" i="10"/>
  <c r="X48" i="10" s="1"/>
  <c r="AA43" i="10"/>
  <c r="AA49" i="9"/>
  <c r="AA46" i="9"/>
  <c r="AA42" i="9"/>
  <c r="AA39" i="9"/>
  <c r="AA32" i="9"/>
  <c r="AA30" i="9"/>
  <c r="AA41" i="9"/>
  <c r="AA37" i="9"/>
  <c r="AA29" i="9"/>
  <c r="AA27" i="9"/>
  <c r="AA19" i="9"/>
  <c r="AA24" i="9"/>
  <c r="AA13" i="9"/>
  <c r="AA11" i="9"/>
  <c r="AA9" i="9"/>
  <c r="AA21" i="9"/>
  <c r="AA26" i="9"/>
  <c r="AA18" i="9"/>
  <c r="AA10" i="9"/>
  <c r="Z51" i="9"/>
  <c r="Z49" i="9"/>
  <c r="Z47" i="9"/>
  <c r="Z45" i="9"/>
  <c r="Z43" i="9"/>
  <c r="Z50" i="9"/>
  <c r="Z48" i="9"/>
  <c r="Z46" i="9"/>
  <c r="Z44" i="9"/>
  <c r="Z42" i="9"/>
  <c r="Z41" i="9"/>
  <c r="Z39" i="9"/>
  <c r="Z37" i="9"/>
  <c r="Z35" i="9"/>
  <c r="Z40" i="9"/>
  <c r="Z38" i="9"/>
  <c r="Z36" i="9"/>
  <c r="Z34" i="9"/>
  <c r="Z32" i="9"/>
  <c r="Z30" i="9"/>
  <c r="Z28" i="9"/>
  <c r="Z26" i="9"/>
  <c r="Z24" i="9"/>
  <c r="Z22" i="9"/>
  <c r="Z20" i="9"/>
  <c r="Z18" i="9"/>
  <c r="Z16" i="9"/>
  <c r="Z33" i="9"/>
  <c r="Z31" i="9"/>
  <c r="Z29" i="9"/>
  <c r="Z27" i="9"/>
  <c r="Z25" i="9"/>
  <c r="Z23" i="9"/>
  <c r="Z21" i="9"/>
  <c r="Z19" i="9"/>
  <c r="Z17" i="9"/>
  <c r="Z14" i="9"/>
  <c r="Z12" i="9"/>
  <c r="Z15" i="9"/>
  <c r="Z13" i="9"/>
  <c r="Z11" i="9"/>
  <c r="Z9" i="9"/>
  <c r="Z5" i="9"/>
  <c r="Z10" i="9"/>
  <c r="Z6" i="9"/>
  <c r="Z7" i="9"/>
  <c r="Z8" i="9"/>
  <c r="M68" i="6"/>
  <c r="AF53" i="7"/>
  <c r="AE53" i="7"/>
  <c r="AA53" i="7"/>
  <c r="AA58" i="7" s="1"/>
  <c r="Z53" i="7"/>
  <c r="Z58" i="7" s="1"/>
  <c r="AG53" i="7"/>
  <c r="M66" i="6"/>
  <c r="M7" i="6"/>
  <c r="M13" i="6"/>
  <c r="M17" i="6"/>
  <c r="M21" i="6"/>
  <c r="M23" i="6"/>
  <c r="M25" i="6"/>
  <c r="R55" i="6"/>
  <c r="R60" i="6" s="1"/>
  <c r="Y55" i="6"/>
  <c r="Z55" i="6"/>
  <c r="M8" i="6"/>
  <c r="M14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M50" i="6"/>
  <c r="O55" i="6"/>
  <c r="O60" i="6" s="1"/>
  <c r="S55" i="6"/>
  <c r="S60" i="6" s="1"/>
  <c r="U55" i="6"/>
  <c r="U60" i="6" s="1"/>
  <c r="AC55" i="6"/>
  <c r="AC60" i="6" s="1"/>
  <c r="AE55" i="6"/>
  <c r="AE60" i="6" s="1"/>
  <c r="M11" i="6"/>
  <c r="M19" i="6"/>
  <c r="M22" i="6"/>
  <c r="M24" i="6"/>
  <c r="L55" i="6"/>
  <c r="L60" i="6" s="1"/>
  <c r="P55" i="6"/>
  <c r="P60" i="6" s="1"/>
  <c r="V55" i="6"/>
  <c r="W55" i="6"/>
  <c r="W60" i="6" s="1"/>
  <c r="AF55" i="6"/>
  <c r="AF60" i="6" s="1"/>
  <c r="AH55" i="6"/>
  <c r="AH60" i="6" s="1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Q55" i="6"/>
  <c r="Q60" i="6" s="1"/>
  <c r="X55" i="6"/>
  <c r="X60" i="6" s="1"/>
  <c r="AA55" i="6"/>
  <c r="M63" i="6" l="1"/>
  <c r="M67" i="6"/>
  <c r="AB43" i="10"/>
  <c r="AA12" i="9"/>
  <c r="AA25" i="9"/>
  <c r="AA20" i="9"/>
  <c r="AA38" i="9"/>
  <c r="AA36" i="9"/>
  <c r="AA48" i="9"/>
  <c r="AA51" i="9"/>
  <c r="U48" i="10"/>
  <c r="Z48" i="12"/>
  <c r="Y43" i="11"/>
  <c r="AI55" i="6"/>
  <c r="AI60" i="6" s="1"/>
  <c r="AI32" i="7" s="1"/>
  <c r="M69" i="6"/>
  <c r="D4" i="5"/>
  <c r="F30" i="5" s="1"/>
  <c r="AH58" i="8"/>
  <c r="AA8" i="9"/>
  <c r="AA22" i="9"/>
  <c r="AA5" i="9"/>
  <c r="AA16" i="9"/>
  <c r="AA23" i="9"/>
  <c r="AA31" i="9"/>
  <c r="AA43" i="9"/>
  <c r="AA44" i="9"/>
  <c r="AA45" i="9"/>
  <c r="O48" i="10"/>
  <c r="M48" i="10"/>
  <c r="AA6" i="9"/>
  <c r="AA14" i="9"/>
  <c r="AA17" i="9"/>
  <c r="AA7" i="9"/>
  <c r="AA15" i="9"/>
  <c r="AA28" i="9"/>
  <c r="AA34" i="9"/>
  <c r="AA33" i="9"/>
  <c r="AA40" i="9"/>
  <c r="AA35" i="9"/>
  <c r="AA47" i="9"/>
  <c r="AI58" i="8"/>
  <c r="Z53" i="9"/>
  <c r="X8" i="25"/>
  <c r="C10" i="26"/>
  <c r="C6" i="26"/>
  <c r="B10" i="26"/>
  <c r="B6" i="26"/>
  <c r="E6" i="26"/>
  <c r="E10" i="26"/>
  <c r="H10" i="26"/>
  <c r="H6" i="26"/>
  <c r="H8" i="26"/>
  <c r="J10" i="25"/>
  <c r="J6" i="25"/>
  <c r="W10" i="25"/>
  <c r="W6" i="25"/>
  <c r="E10" i="25"/>
  <c r="E6" i="25"/>
  <c r="U10" i="25"/>
  <c r="U6" i="25"/>
  <c r="H10" i="25"/>
  <c r="H6" i="25"/>
  <c r="D10" i="26"/>
  <c r="D6" i="26"/>
  <c r="B10" i="25"/>
  <c r="B6" i="25"/>
  <c r="O10" i="25"/>
  <c r="O6" i="25"/>
  <c r="V6" i="25"/>
  <c r="V10" i="25"/>
  <c r="S10" i="25"/>
  <c r="S6" i="25"/>
  <c r="I10" i="25"/>
  <c r="I6" i="25"/>
  <c r="L10" i="25"/>
  <c r="L6" i="25"/>
  <c r="J10" i="26"/>
  <c r="J6" i="26"/>
  <c r="K6" i="26"/>
  <c r="G10" i="25"/>
  <c r="G6" i="25"/>
  <c r="N6" i="25"/>
  <c r="N10" i="25"/>
  <c r="K10" i="25"/>
  <c r="K6" i="25"/>
  <c r="M10" i="25"/>
  <c r="M6" i="25"/>
  <c r="P10" i="25"/>
  <c r="P6" i="25"/>
  <c r="M8" i="26"/>
  <c r="G10" i="26"/>
  <c r="G6" i="26"/>
  <c r="F10" i="26"/>
  <c r="F6" i="26"/>
  <c r="I10" i="26"/>
  <c r="I6" i="26"/>
  <c r="L10" i="26"/>
  <c r="L6" i="26"/>
  <c r="R10" i="25"/>
  <c r="R6" i="25"/>
  <c r="F6" i="25"/>
  <c r="F10" i="25"/>
  <c r="C10" i="25"/>
  <c r="C6" i="25"/>
  <c r="Q10" i="25"/>
  <c r="Q6" i="25"/>
  <c r="D6" i="25"/>
  <c r="D10" i="25"/>
  <c r="T10" i="25"/>
  <c r="T6" i="25"/>
  <c r="X11" i="21"/>
  <c r="AF11" i="21" s="1"/>
  <c r="X10" i="21"/>
  <c r="AF10" i="21" s="1"/>
  <c r="AO9" i="16"/>
  <c r="AT9" i="16"/>
  <c r="AI36" i="7"/>
  <c r="AI43" i="7"/>
  <c r="AI27" i="7"/>
  <c r="AI42" i="7"/>
  <c r="AI26" i="7"/>
  <c r="AI45" i="7"/>
  <c r="AI29" i="7"/>
  <c r="AI28" i="7"/>
  <c r="E37" i="5"/>
  <c r="R45" i="13"/>
  <c r="R45" i="10"/>
  <c r="R45" i="12"/>
  <c r="R45" i="11"/>
  <c r="AC16" i="7"/>
  <c r="AC13" i="7"/>
  <c r="AC7" i="7"/>
  <c r="AC19" i="7"/>
  <c r="AC14" i="7"/>
  <c r="AC11" i="7"/>
  <c r="AC8" i="7"/>
  <c r="AC25" i="7"/>
  <c r="AC20" i="7"/>
  <c r="AC17" i="7"/>
  <c r="AC12" i="7"/>
  <c r="AC9" i="7"/>
  <c r="AC5" i="7"/>
  <c r="AC18" i="7"/>
  <c r="AC15" i="7"/>
  <c r="AC10" i="7"/>
  <c r="AC6" i="7"/>
  <c r="AC40" i="7"/>
  <c r="AC24" i="7"/>
  <c r="AC41" i="7"/>
  <c r="AC30" i="7"/>
  <c r="AC46" i="7"/>
  <c r="AC35" i="7"/>
  <c r="AC51" i="7"/>
  <c r="AC23" i="7"/>
  <c r="AC44" i="7"/>
  <c r="AC29" i="7"/>
  <c r="AC45" i="7"/>
  <c r="AC34" i="7"/>
  <c r="AC50" i="7"/>
  <c r="AC22" i="7"/>
  <c r="AC39" i="7"/>
  <c r="AC32" i="7"/>
  <c r="AC28" i="7"/>
  <c r="AC48" i="7"/>
  <c r="AC33" i="7"/>
  <c r="AC49" i="7"/>
  <c r="AC21" i="7"/>
  <c r="AC38" i="7"/>
  <c r="AC27" i="7"/>
  <c r="AC43" i="7"/>
  <c r="AC36" i="7"/>
  <c r="AC37" i="7"/>
  <c r="AC26" i="7"/>
  <c r="AC42" i="7"/>
  <c r="AC31" i="7"/>
  <c r="AC47" i="7"/>
  <c r="Z49" i="8"/>
  <c r="Y49" i="23" s="1"/>
  <c r="Y101" i="23" s="1"/>
  <c r="Z45" i="8"/>
  <c r="Y45" i="23" s="1"/>
  <c r="Y97" i="23" s="1"/>
  <c r="Z41" i="8"/>
  <c r="Y41" i="23" s="1"/>
  <c r="Y93" i="23" s="1"/>
  <c r="Z37" i="8"/>
  <c r="Y37" i="23" s="1"/>
  <c r="Y89" i="23" s="1"/>
  <c r="Z48" i="8"/>
  <c r="Y48" i="23" s="1"/>
  <c r="Y100" i="23" s="1"/>
  <c r="Z51" i="8"/>
  <c r="Y51" i="23" s="1"/>
  <c r="Y103" i="23" s="1"/>
  <c r="Z47" i="8"/>
  <c r="Y47" i="23" s="1"/>
  <c r="Y99" i="23" s="1"/>
  <c r="Z50" i="8"/>
  <c r="Y50" i="23" s="1"/>
  <c r="Y102" i="23" s="1"/>
  <c r="Z46" i="8"/>
  <c r="Y46" i="23" s="1"/>
  <c r="Y98" i="23" s="1"/>
  <c r="Z42" i="8"/>
  <c r="Y42" i="23" s="1"/>
  <c r="Y94" i="23" s="1"/>
  <c r="Z38" i="8"/>
  <c r="Y38" i="23" s="1"/>
  <c r="Y90" i="23" s="1"/>
  <c r="Z43" i="8"/>
  <c r="Y43" i="23" s="1"/>
  <c r="Y95" i="23" s="1"/>
  <c r="Z34" i="8"/>
  <c r="Y34" i="23" s="1"/>
  <c r="Y86" i="23" s="1"/>
  <c r="Z32" i="8"/>
  <c r="Y32" i="23" s="1"/>
  <c r="Y84" i="23" s="1"/>
  <c r="Z29" i="8"/>
  <c r="Y29" i="23" s="1"/>
  <c r="Y81" i="23" s="1"/>
  <c r="Z24" i="8"/>
  <c r="Y24" i="23" s="1"/>
  <c r="Y76" i="23" s="1"/>
  <c r="Z21" i="8"/>
  <c r="Y21" i="23" s="1"/>
  <c r="Y73" i="23" s="1"/>
  <c r="Z16" i="8"/>
  <c r="Y16" i="23" s="1"/>
  <c r="Y68" i="23" s="1"/>
  <c r="Z13" i="8"/>
  <c r="Y13" i="23" s="1"/>
  <c r="Y65" i="23" s="1"/>
  <c r="Z8" i="8"/>
  <c r="Y8" i="23" s="1"/>
  <c r="Y60" i="23" s="1"/>
  <c r="Z5" i="8"/>
  <c r="Y5" i="23" s="1"/>
  <c r="Y57" i="23" s="1"/>
  <c r="Z40" i="8"/>
  <c r="Y40" i="23" s="1"/>
  <c r="Y92" i="23" s="1"/>
  <c r="Z31" i="8"/>
  <c r="Y31" i="23" s="1"/>
  <c r="Y83" i="23" s="1"/>
  <c r="Z26" i="8"/>
  <c r="Y26" i="23" s="1"/>
  <c r="Y78" i="23" s="1"/>
  <c r="Z23" i="8"/>
  <c r="Y23" i="23" s="1"/>
  <c r="Y75" i="23" s="1"/>
  <c r="Z18" i="8"/>
  <c r="Y18" i="23" s="1"/>
  <c r="Y70" i="23" s="1"/>
  <c r="Z15" i="8"/>
  <c r="Y15" i="23" s="1"/>
  <c r="Y67" i="23" s="1"/>
  <c r="Z10" i="8"/>
  <c r="Y10" i="23" s="1"/>
  <c r="Y62" i="23" s="1"/>
  <c r="Z7" i="8"/>
  <c r="Y7" i="23" s="1"/>
  <c r="Y59" i="23" s="1"/>
  <c r="Z39" i="8"/>
  <c r="Y39" i="23" s="1"/>
  <c r="Y91" i="23" s="1"/>
  <c r="Z36" i="8"/>
  <c r="Y36" i="23" s="1"/>
  <c r="Y88" i="23" s="1"/>
  <c r="Z28" i="8"/>
  <c r="Y28" i="23" s="1"/>
  <c r="Y80" i="23" s="1"/>
  <c r="Z25" i="8"/>
  <c r="Y25" i="23" s="1"/>
  <c r="Y77" i="23" s="1"/>
  <c r="Z20" i="8"/>
  <c r="Y20" i="23" s="1"/>
  <c r="Y72" i="23" s="1"/>
  <c r="Z17" i="8"/>
  <c r="Y17" i="23" s="1"/>
  <c r="Y69" i="23" s="1"/>
  <c r="Z12" i="8"/>
  <c r="Y12" i="23" s="1"/>
  <c r="Y64" i="23" s="1"/>
  <c r="Z9" i="8"/>
  <c r="Y9" i="23" s="1"/>
  <c r="Y61" i="23" s="1"/>
  <c r="Z44" i="8"/>
  <c r="Y44" i="23" s="1"/>
  <c r="Y96" i="23" s="1"/>
  <c r="Z35" i="8"/>
  <c r="Y35" i="23" s="1"/>
  <c r="Y87" i="23" s="1"/>
  <c r="Z33" i="8"/>
  <c r="Y33" i="23" s="1"/>
  <c r="Y85" i="23" s="1"/>
  <c r="Z30" i="8"/>
  <c r="Y30" i="23" s="1"/>
  <c r="Y82" i="23" s="1"/>
  <c r="Z27" i="8"/>
  <c r="Y27" i="23" s="1"/>
  <c r="Y79" i="23" s="1"/>
  <c r="Z22" i="8"/>
  <c r="Y22" i="23" s="1"/>
  <c r="Y74" i="23" s="1"/>
  <c r="Z19" i="8"/>
  <c r="Y19" i="23" s="1"/>
  <c r="Y71" i="23" s="1"/>
  <c r="Z14" i="8"/>
  <c r="Y14" i="23" s="1"/>
  <c r="Y66" i="23" s="1"/>
  <c r="Z11" i="8"/>
  <c r="Y11" i="23" s="1"/>
  <c r="Y63" i="23" s="1"/>
  <c r="Z6" i="8"/>
  <c r="Y6" i="23" s="1"/>
  <c r="Y58" i="23" s="1"/>
  <c r="V47" i="12"/>
  <c r="U47" i="12"/>
  <c r="AH20" i="7"/>
  <c r="AH15" i="7"/>
  <c r="AH12" i="7"/>
  <c r="AH6" i="7"/>
  <c r="AH18" i="7"/>
  <c r="AH13" i="7"/>
  <c r="AH10" i="7"/>
  <c r="AH7" i="7"/>
  <c r="AH19" i="7"/>
  <c r="AH16" i="7"/>
  <c r="AH11" i="7"/>
  <c r="AH8" i="7"/>
  <c r="AH25" i="7"/>
  <c r="AH17" i="7"/>
  <c r="AH14" i="7"/>
  <c r="AH9" i="7"/>
  <c r="AH5" i="7"/>
  <c r="AH26" i="7"/>
  <c r="AH42" i="7"/>
  <c r="AH27" i="7"/>
  <c r="AH43" i="7"/>
  <c r="AH32" i="7"/>
  <c r="AH48" i="7"/>
  <c r="AH37" i="7"/>
  <c r="AH30" i="7"/>
  <c r="AH46" i="7"/>
  <c r="AH31" i="7"/>
  <c r="AH47" i="7"/>
  <c r="AH36" i="7"/>
  <c r="AH24" i="7"/>
  <c r="AH41" i="7"/>
  <c r="AH34" i="7"/>
  <c r="AH50" i="7"/>
  <c r="AH35" i="7"/>
  <c r="AH51" i="7"/>
  <c r="AH23" i="7"/>
  <c r="AH40" i="7"/>
  <c r="AH29" i="7"/>
  <c r="AH45" i="7"/>
  <c r="AH21" i="7"/>
  <c r="AH38" i="7"/>
  <c r="AH22" i="7"/>
  <c r="AH39" i="7"/>
  <c r="AH28" i="7"/>
  <c r="AH44" i="7"/>
  <c r="AH33" i="7"/>
  <c r="AH49" i="7"/>
  <c r="P27" i="7"/>
  <c r="P22" i="7"/>
  <c r="P19" i="7"/>
  <c r="P14" i="7"/>
  <c r="P11" i="7"/>
  <c r="P8" i="7"/>
  <c r="P28" i="7"/>
  <c r="P25" i="7"/>
  <c r="P20" i="7"/>
  <c r="P17" i="7"/>
  <c r="P12" i="7"/>
  <c r="P9" i="7"/>
  <c r="P5" i="7"/>
  <c r="P26" i="7"/>
  <c r="P23" i="7"/>
  <c r="P18" i="7"/>
  <c r="P15" i="7"/>
  <c r="P10" i="7"/>
  <c r="P6" i="7"/>
  <c r="P29" i="7"/>
  <c r="P24" i="7"/>
  <c r="P21" i="7"/>
  <c r="P16" i="7"/>
  <c r="P13" i="7"/>
  <c r="P7" i="7"/>
  <c r="P34" i="7"/>
  <c r="P50" i="7"/>
  <c r="P39" i="7"/>
  <c r="P44" i="7"/>
  <c r="P33" i="7"/>
  <c r="P49" i="7"/>
  <c r="P38" i="7"/>
  <c r="P43" i="7"/>
  <c r="P32" i="7"/>
  <c r="P48" i="7"/>
  <c r="P37" i="7"/>
  <c r="P42" i="7"/>
  <c r="P31" i="7"/>
  <c r="P47" i="7"/>
  <c r="P36" i="7"/>
  <c r="P41" i="7"/>
  <c r="P30" i="7"/>
  <c r="P46" i="7"/>
  <c r="P35" i="7"/>
  <c r="P51" i="7"/>
  <c r="P40" i="7"/>
  <c r="P45" i="7"/>
  <c r="U51" i="7"/>
  <c r="U49" i="7"/>
  <c r="U47" i="7"/>
  <c r="U45" i="7"/>
  <c r="U43" i="7"/>
  <c r="U41" i="7"/>
  <c r="U39" i="7"/>
  <c r="U37" i="7"/>
  <c r="U30" i="7"/>
  <c r="U48" i="7"/>
  <c r="U40" i="7"/>
  <c r="U34" i="7"/>
  <c r="U32" i="7"/>
  <c r="U27" i="7"/>
  <c r="U22" i="7"/>
  <c r="U19" i="7"/>
  <c r="U14" i="7"/>
  <c r="U11" i="7"/>
  <c r="U8" i="7"/>
  <c r="U46" i="7"/>
  <c r="U38" i="7"/>
  <c r="U28" i="7"/>
  <c r="U25" i="7"/>
  <c r="U20" i="7"/>
  <c r="U17" i="7"/>
  <c r="U12" i="7"/>
  <c r="U9" i="7"/>
  <c r="U5" i="7"/>
  <c r="U44" i="7"/>
  <c r="U36" i="7"/>
  <c r="U35" i="7"/>
  <c r="U33" i="7"/>
  <c r="U26" i="7"/>
  <c r="U23" i="7"/>
  <c r="U18" i="7"/>
  <c r="U15" i="7"/>
  <c r="U10" i="7"/>
  <c r="U6" i="7"/>
  <c r="U50" i="7"/>
  <c r="U42" i="7"/>
  <c r="U31" i="7"/>
  <c r="U29" i="7"/>
  <c r="U24" i="7"/>
  <c r="U21" i="7"/>
  <c r="U16" i="7"/>
  <c r="U13" i="7"/>
  <c r="U7" i="7"/>
  <c r="X34" i="7"/>
  <c r="X32" i="7"/>
  <c r="X47" i="7"/>
  <c r="X44" i="7"/>
  <c r="X39" i="7"/>
  <c r="X36" i="7"/>
  <c r="X35" i="7"/>
  <c r="X33" i="7"/>
  <c r="X29" i="7"/>
  <c r="X24" i="7"/>
  <c r="X21" i="7"/>
  <c r="X16" i="7"/>
  <c r="X13" i="7"/>
  <c r="X7" i="7"/>
  <c r="X50" i="7"/>
  <c r="X45" i="7"/>
  <c r="X42" i="7"/>
  <c r="X37" i="7"/>
  <c r="X31" i="7"/>
  <c r="X27" i="7"/>
  <c r="X22" i="7"/>
  <c r="X19" i="7"/>
  <c r="X14" i="7"/>
  <c r="X11" i="7"/>
  <c r="X8" i="7"/>
  <c r="X51" i="7"/>
  <c r="X48" i="7"/>
  <c r="X43" i="7"/>
  <c r="X40" i="7"/>
  <c r="X28" i="7"/>
  <c r="X25" i="7"/>
  <c r="X20" i="7"/>
  <c r="X17" i="7"/>
  <c r="X12" i="7"/>
  <c r="X9" i="7"/>
  <c r="X5" i="7"/>
  <c r="X49" i="7"/>
  <c r="X46" i="7"/>
  <c r="X41" i="7"/>
  <c r="X38" i="7"/>
  <c r="X30" i="7"/>
  <c r="X26" i="7"/>
  <c r="X23" i="7"/>
  <c r="X18" i="7"/>
  <c r="X15" i="7"/>
  <c r="X10" i="7"/>
  <c r="X6" i="7"/>
  <c r="L28" i="7"/>
  <c r="L9" i="7"/>
  <c r="L5" i="7"/>
  <c r="L26" i="7"/>
  <c r="L23" i="7"/>
  <c r="L15" i="7"/>
  <c r="L10" i="7"/>
  <c r="L6" i="7"/>
  <c r="L29" i="7"/>
  <c r="L24" i="7"/>
  <c r="L21" i="7"/>
  <c r="L16" i="7"/>
  <c r="L13" i="7"/>
  <c r="L27" i="7"/>
  <c r="L22" i="7"/>
  <c r="L14" i="7"/>
  <c r="L8" i="7"/>
  <c r="L37" i="7"/>
  <c r="L18" i="7"/>
  <c r="L42" i="7"/>
  <c r="L35" i="7"/>
  <c r="L51" i="7"/>
  <c r="L36" i="7"/>
  <c r="L17" i="7"/>
  <c r="L41" i="7"/>
  <c r="L30" i="7"/>
  <c r="L46" i="7"/>
  <c r="L11" i="7"/>
  <c r="L39" i="7"/>
  <c r="L12" i="7"/>
  <c r="L40" i="7"/>
  <c r="L25" i="7"/>
  <c r="L45" i="7"/>
  <c r="L34" i="7"/>
  <c r="L50" i="7"/>
  <c r="L19" i="7"/>
  <c r="L43" i="7"/>
  <c r="L20" i="7"/>
  <c r="L44" i="7"/>
  <c r="L33" i="7"/>
  <c r="L49" i="7"/>
  <c r="L7" i="7"/>
  <c r="L38" i="7"/>
  <c r="L31" i="7"/>
  <c r="L47" i="7"/>
  <c r="L32" i="7"/>
  <c r="L48" i="7"/>
  <c r="S16" i="7"/>
  <c r="S13" i="7"/>
  <c r="S7" i="7"/>
  <c r="S19" i="7"/>
  <c r="S14" i="7"/>
  <c r="S11" i="7"/>
  <c r="S8" i="7"/>
  <c r="S25" i="7"/>
  <c r="S20" i="7"/>
  <c r="S17" i="7"/>
  <c r="S12" i="7"/>
  <c r="S9" i="7"/>
  <c r="S5" i="7"/>
  <c r="S18" i="7"/>
  <c r="S15" i="7"/>
  <c r="S10" i="7"/>
  <c r="S6" i="7"/>
  <c r="S32" i="7"/>
  <c r="S48" i="7"/>
  <c r="S37" i="7"/>
  <c r="S26" i="7"/>
  <c r="S42" i="7"/>
  <c r="S31" i="7"/>
  <c r="S47" i="7"/>
  <c r="S36" i="7"/>
  <c r="S24" i="7"/>
  <c r="S41" i="7"/>
  <c r="S30" i="7"/>
  <c r="S46" i="7"/>
  <c r="S35" i="7"/>
  <c r="S51" i="7"/>
  <c r="S23" i="7"/>
  <c r="S40" i="7"/>
  <c r="S29" i="7"/>
  <c r="S45" i="7"/>
  <c r="S34" i="7"/>
  <c r="S50" i="7"/>
  <c r="S22" i="7"/>
  <c r="S39" i="7"/>
  <c r="S28" i="7"/>
  <c r="S44" i="7"/>
  <c r="S33" i="7"/>
  <c r="S49" i="7"/>
  <c r="S21" i="7"/>
  <c r="S38" i="7"/>
  <c r="S27" i="7"/>
  <c r="S43" i="7"/>
  <c r="R26" i="7"/>
  <c r="R23" i="7"/>
  <c r="R18" i="7"/>
  <c r="R15" i="7"/>
  <c r="R10" i="7"/>
  <c r="R6" i="7"/>
  <c r="R29" i="7"/>
  <c r="R24" i="7"/>
  <c r="R21" i="7"/>
  <c r="R16" i="7"/>
  <c r="R13" i="7"/>
  <c r="R7" i="7"/>
  <c r="R27" i="7"/>
  <c r="R22" i="7"/>
  <c r="R19" i="7"/>
  <c r="R14" i="7"/>
  <c r="R11" i="7"/>
  <c r="R8" i="7"/>
  <c r="R28" i="7"/>
  <c r="R25" i="7"/>
  <c r="R20" i="7"/>
  <c r="R17" i="7"/>
  <c r="R12" i="7"/>
  <c r="R9" i="7"/>
  <c r="R5" i="7"/>
  <c r="R30" i="7"/>
  <c r="R46" i="7"/>
  <c r="R35" i="7"/>
  <c r="R51" i="7"/>
  <c r="R40" i="7"/>
  <c r="R45" i="7"/>
  <c r="R34" i="7"/>
  <c r="R50" i="7"/>
  <c r="R39" i="7"/>
  <c r="R44" i="7"/>
  <c r="R33" i="7"/>
  <c r="R49" i="7"/>
  <c r="R38" i="7"/>
  <c r="R43" i="7"/>
  <c r="R32" i="7"/>
  <c r="R48" i="7"/>
  <c r="R37" i="7"/>
  <c r="R42" i="7"/>
  <c r="R31" i="7"/>
  <c r="R47" i="7"/>
  <c r="R36" i="7"/>
  <c r="R41" i="7"/>
  <c r="AA48" i="8"/>
  <c r="Z48" i="23" s="1"/>
  <c r="Z100" i="23" s="1"/>
  <c r="AA44" i="8"/>
  <c r="Z44" i="23" s="1"/>
  <c r="Z96" i="23" s="1"/>
  <c r="AA40" i="8"/>
  <c r="Z40" i="23" s="1"/>
  <c r="Z92" i="23" s="1"/>
  <c r="AA36" i="8"/>
  <c r="Z36" i="23" s="1"/>
  <c r="Z88" i="23" s="1"/>
  <c r="AA51" i="8"/>
  <c r="Z51" i="23" s="1"/>
  <c r="Z103" i="23" s="1"/>
  <c r="AA47" i="8"/>
  <c r="Z47" i="23" s="1"/>
  <c r="Z99" i="23" s="1"/>
  <c r="AA50" i="8"/>
  <c r="Z50" i="23" s="1"/>
  <c r="Z102" i="23" s="1"/>
  <c r="AA46" i="8"/>
  <c r="Z46" i="23" s="1"/>
  <c r="Z98" i="23" s="1"/>
  <c r="AA49" i="8"/>
  <c r="Z49" i="23" s="1"/>
  <c r="Z101" i="23" s="1"/>
  <c r="AA45" i="8"/>
  <c r="Z45" i="23" s="1"/>
  <c r="Z97" i="23" s="1"/>
  <c r="AA41" i="8"/>
  <c r="Z41" i="23" s="1"/>
  <c r="Z93" i="23" s="1"/>
  <c r="AA37" i="8"/>
  <c r="Z37" i="23" s="1"/>
  <c r="Z89" i="23" s="1"/>
  <c r="AA42" i="8"/>
  <c r="Z42" i="23" s="1"/>
  <c r="Z94" i="23" s="1"/>
  <c r="AA31" i="8"/>
  <c r="Z31" i="23" s="1"/>
  <c r="Z83" i="23" s="1"/>
  <c r="AA26" i="8"/>
  <c r="Z26" i="23" s="1"/>
  <c r="Z78" i="23" s="1"/>
  <c r="AA23" i="8"/>
  <c r="Z23" i="23" s="1"/>
  <c r="Z75" i="23" s="1"/>
  <c r="AA18" i="8"/>
  <c r="Z18" i="23" s="1"/>
  <c r="Z70" i="23" s="1"/>
  <c r="AA15" i="8"/>
  <c r="Z15" i="23" s="1"/>
  <c r="Z67" i="23" s="1"/>
  <c r="AA10" i="8"/>
  <c r="Z10" i="23" s="1"/>
  <c r="Z62" i="23" s="1"/>
  <c r="AA7" i="8"/>
  <c r="AA39" i="8"/>
  <c r="Z39" i="23" s="1"/>
  <c r="Z91" i="23" s="1"/>
  <c r="AA28" i="8"/>
  <c r="Z28" i="23" s="1"/>
  <c r="Z80" i="23" s="1"/>
  <c r="AA25" i="8"/>
  <c r="Z25" i="23" s="1"/>
  <c r="Z77" i="23" s="1"/>
  <c r="AA20" i="8"/>
  <c r="Z20" i="23" s="1"/>
  <c r="Z72" i="23" s="1"/>
  <c r="AA17" i="8"/>
  <c r="Z17" i="23" s="1"/>
  <c r="Z69" i="23" s="1"/>
  <c r="AA12" i="8"/>
  <c r="Z12" i="23" s="1"/>
  <c r="Z64" i="23" s="1"/>
  <c r="AA9" i="8"/>
  <c r="Z9" i="23" s="1"/>
  <c r="Z61" i="23" s="1"/>
  <c r="AA38" i="8"/>
  <c r="Z38" i="23" s="1"/>
  <c r="Z90" i="23" s="1"/>
  <c r="AA35" i="8"/>
  <c r="Z35" i="23" s="1"/>
  <c r="Z87" i="23" s="1"/>
  <c r="AA33" i="8"/>
  <c r="Z33" i="23" s="1"/>
  <c r="Z85" i="23" s="1"/>
  <c r="AA30" i="8"/>
  <c r="Z30" i="23" s="1"/>
  <c r="Z82" i="23" s="1"/>
  <c r="AA27" i="8"/>
  <c r="Z27" i="23" s="1"/>
  <c r="Z79" i="23" s="1"/>
  <c r="AA22" i="8"/>
  <c r="Z22" i="23" s="1"/>
  <c r="Z74" i="23" s="1"/>
  <c r="AA19" i="8"/>
  <c r="Z19" i="23" s="1"/>
  <c r="Z71" i="23" s="1"/>
  <c r="AA14" i="8"/>
  <c r="Z14" i="23" s="1"/>
  <c r="Z66" i="23" s="1"/>
  <c r="AA11" i="8"/>
  <c r="Z11" i="23" s="1"/>
  <c r="Z63" i="23" s="1"/>
  <c r="AA6" i="8"/>
  <c r="Z6" i="23" s="1"/>
  <c r="Z58" i="23" s="1"/>
  <c r="AA43" i="8"/>
  <c r="Z43" i="23" s="1"/>
  <c r="Z95" i="23" s="1"/>
  <c r="AA34" i="8"/>
  <c r="Z34" i="23" s="1"/>
  <c r="Z86" i="23" s="1"/>
  <c r="AA32" i="8"/>
  <c r="Z32" i="23" s="1"/>
  <c r="Z84" i="23" s="1"/>
  <c r="AA29" i="8"/>
  <c r="Z29" i="23" s="1"/>
  <c r="Z81" i="23" s="1"/>
  <c r="AA24" i="8"/>
  <c r="Z24" i="23" s="1"/>
  <c r="Z76" i="23" s="1"/>
  <c r="AA21" i="8"/>
  <c r="Z21" i="23" s="1"/>
  <c r="Z73" i="23" s="1"/>
  <c r="AA16" i="8"/>
  <c r="Z16" i="23" s="1"/>
  <c r="Z68" i="23" s="1"/>
  <c r="AA13" i="8"/>
  <c r="Z13" i="23" s="1"/>
  <c r="Z65" i="23" s="1"/>
  <c r="AA8" i="8"/>
  <c r="Z8" i="23" s="1"/>
  <c r="Z60" i="23" s="1"/>
  <c r="AA5" i="8"/>
  <c r="Z5" i="23" s="1"/>
  <c r="Z57" i="23" s="1"/>
  <c r="O10" i="11"/>
  <c r="O9" i="11"/>
  <c r="O8" i="11"/>
  <c r="O7" i="11"/>
  <c r="O6" i="11"/>
  <c r="O5" i="11"/>
  <c r="O15" i="11"/>
  <c r="O23" i="11"/>
  <c r="O39" i="11"/>
  <c r="O11" i="11"/>
  <c r="O28" i="11"/>
  <c r="O17" i="11"/>
  <c r="O33" i="11"/>
  <c r="O22" i="11"/>
  <c r="O38" i="11"/>
  <c r="O27" i="11"/>
  <c r="O16" i="11"/>
  <c r="O32" i="11"/>
  <c r="O21" i="11"/>
  <c r="O37" i="11"/>
  <c r="O26" i="11"/>
  <c r="O14" i="11"/>
  <c r="O31" i="11"/>
  <c r="O20" i="11"/>
  <c r="O36" i="11"/>
  <c r="O25" i="11"/>
  <c r="O41" i="11"/>
  <c r="O13" i="11"/>
  <c r="O30" i="11"/>
  <c r="O19" i="11"/>
  <c r="O35" i="11"/>
  <c r="O24" i="11"/>
  <c r="O40" i="11"/>
  <c r="O12" i="11"/>
  <c r="O29" i="11"/>
  <c r="O18" i="11"/>
  <c r="O34" i="11"/>
  <c r="T47" i="11"/>
  <c r="T47" i="12"/>
  <c r="N47" i="12"/>
  <c r="O47" i="12"/>
  <c r="Q28" i="7"/>
  <c r="Q9" i="7"/>
  <c r="Q5" i="7"/>
  <c r="Q26" i="7"/>
  <c r="Q23" i="7"/>
  <c r="Q15" i="7"/>
  <c r="Q10" i="7"/>
  <c r="Q6" i="7"/>
  <c r="Q29" i="7"/>
  <c r="Q24" i="7"/>
  <c r="Q21" i="7"/>
  <c r="Q16" i="7"/>
  <c r="Q13" i="7"/>
  <c r="Q27" i="7"/>
  <c r="Q22" i="7"/>
  <c r="Q14" i="7"/>
  <c r="Q8" i="7"/>
  <c r="Q36" i="7"/>
  <c r="Q17" i="7"/>
  <c r="Q41" i="7"/>
  <c r="Q30" i="7"/>
  <c r="Q46" i="7"/>
  <c r="Q35" i="7"/>
  <c r="Q51" i="7"/>
  <c r="Q12" i="7"/>
  <c r="Q40" i="7"/>
  <c r="Q25" i="7"/>
  <c r="Q45" i="7"/>
  <c r="Q34" i="7"/>
  <c r="Q50" i="7"/>
  <c r="Q11" i="7"/>
  <c r="Q39" i="7"/>
  <c r="Q20" i="7"/>
  <c r="Q44" i="7"/>
  <c r="Q33" i="7"/>
  <c r="Q49" i="7"/>
  <c r="Q7" i="7"/>
  <c r="Q38" i="7"/>
  <c r="Q19" i="7"/>
  <c r="Q43" i="7"/>
  <c r="Q32" i="7"/>
  <c r="Q48" i="7"/>
  <c r="Q37" i="7"/>
  <c r="Q18" i="7"/>
  <c r="Q42" i="7"/>
  <c r="Q31" i="7"/>
  <c r="Q47" i="7"/>
  <c r="W50" i="7"/>
  <c r="W48" i="7"/>
  <c r="W46" i="7"/>
  <c r="W44" i="7"/>
  <c r="W42" i="7"/>
  <c r="W40" i="7"/>
  <c r="W38" i="7"/>
  <c r="W36" i="7"/>
  <c r="W31" i="7"/>
  <c r="W49" i="7"/>
  <c r="W41" i="7"/>
  <c r="W30" i="7"/>
  <c r="W26" i="7"/>
  <c r="W23" i="7"/>
  <c r="W18" i="7"/>
  <c r="W15" i="7"/>
  <c r="W10" i="7"/>
  <c r="W6" i="7"/>
  <c r="W47" i="7"/>
  <c r="W39" i="7"/>
  <c r="W35" i="7"/>
  <c r="W33" i="7"/>
  <c r="W29" i="7"/>
  <c r="W24" i="7"/>
  <c r="W21" i="7"/>
  <c r="W16" i="7"/>
  <c r="W13" i="7"/>
  <c r="W7" i="7"/>
  <c r="W45" i="7"/>
  <c r="W37" i="7"/>
  <c r="W34" i="7"/>
  <c r="W32" i="7"/>
  <c r="W27" i="7"/>
  <c r="W22" i="7"/>
  <c r="W19" i="7"/>
  <c r="W14" i="7"/>
  <c r="W11" i="7"/>
  <c r="W8" i="7"/>
  <c r="W51" i="7"/>
  <c r="W43" i="7"/>
  <c r="W28" i="7"/>
  <c r="W25" i="7"/>
  <c r="W20" i="7"/>
  <c r="W17" i="7"/>
  <c r="W12" i="7"/>
  <c r="W9" i="7"/>
  <c r="W5" i="7"/>
  <c r="O16" i="7"/>
  <c r="O13" i="7"/>
  <c r="O7" i="7"/>
  <c r="O19" i="7"/>
  <c r="O14" i="7"/>
  <c r="O11" i="7"/>
  <c r="O8" i="7"/>
  <c r="O25" i="7"/>
  <c r="O20" i="7"/>
  <c r="O17" i="7"/>
  <c r="O12" i="7"/>
  <c r="O9" i="7"/>
  <c r="O5" i="7"/>
  <c r="O18" i="7"/>
  <c r="O15" i="7"/>
  <c r="O10" i="7"/>
  <c r="O6" i="7"/>
  <c r="O23" i="7"/>
  <c r="O40" i="7"/>
  <c r="O29" i="7"/>
  <c r="O45" i="7"/>
  <c r="O34" i="7"/>
  <c r="O50" i="7"/>
  <c r="O22" i="7"/>
  <c r="O39" i="7"/>
  <c r="O28" i="7"/>
  <c r="O44" i="7"/>
  <c r="O33" i="7"/>
  <c r="O49" i="7"/>
  <c r="O21" i="7"/>
  <c r="O38" i="7"/>
  <c r="O27" i="7"/>
  <c r="O43" i="7"/>
  <c r="O32" i="7"/>
  <c r="O48" i="7"/>
  <c r="O37" i="7"/>
  <c r="O26" i="7"/>
  <c r="O42" i="7"/>
  <c r="O31" i="7"/>
  <c r="O47" i="7"/>
  <c r="O36" i="7"/>
  <c r="O24" i="7"/>
  <c r="O41" i="7"/>
  <c r="O30" i="7"/>
  <c r="O46" i="7"/>
  <c r="O35" i="7"/>
  <c r="O51" i="7"/>
  <c r="U15" i="11"/>
  <c r="U38" i="11"/>
  <c r="U10" i="11"/>
  <c r="U9" i="11"/>
  <c r="U8" i="11"/>
  <c r="U7" i="11"/>
  <c r="U6" i="11"/>
  <c r="U5" i="11"/>
  <c r="U14" i="11"/>
  <c r="U31" i="11"/>
  <c r="U20" i="11"/>
  <c r="U36" i="11"/>
  <c r="U25" i="11"/>
  <c r="U13" i="11"/>
  <c r="U22" i="11"/>
  <c r="U37" i="11"/>
  <c r="U19" i="11"/>
  <c r="U35" i="11"/>
  <c r="U24" i="11"/>
  <c r="U40" i="11"/>
  <c r="U12" i="11"/>
  <c r="U29" i="11"/>
  <c r="U34" i="11"/>
  <c r="U26" i="11"/>
  <c r="U41" i="11"/>
  <c r="U23" i="11"/>
  <c r="U39" i="11"/>
  <c r="U11" i="11"/>
  <c r="U28" i="11"/>
  <c r="U17" i="11"/>
  <c r="U33" i="11"/>
  <c r="U30" i="11"/>
  <c r="U27" i="11"/>
  <c r="U16" i="11"/>
  <c r="U32" i="11"/>
  <c r="U21" i="11"/>
  <c r="U18" i="11"/>
  <c r="M15" i="11"/>
  <c r="M15" i="13" s="1"/>
  <c r="M10" i="11"/>
  <c r="M9" i="11"/>
  <c r="M8" i="11"/>
  <c r="M7" i="11"/>
  <c r="M6" i="11"/>
  <c r="M5" i="11"/>
  <c r="M19" i="11"/>
  <c r="M19" i="13" s="1"/>
  <c r="M35" i="11"/>
  <c r="M35" i="13" s="1"/>
  <c r="M24" i="11"/>
  <c r="M40" i="11"/>
  <c r="M12" i="11"/>
  <c r="M29" i="11"/>
  <c r="M26" i="11"/>
  <c r="M23" i="11"/>
  <c r="M39" i="11"/>
  <c r="M39" i="13" s="1"/>
  <c r="M11" i="11"/>
  <c r="M28" i="11"/>
  <c r="M17" i="11"/>
  <c r="M33" i="11"/>
  <c r="M13" i="11"/>
  <c r="M13" i="13" s="1"/>
  <c r="M30" i="11"/>
  <c r="M27" i="11"/>
  <c r="M16" i="11"/>
  <c r="M16" i="13" s="1"/>
  <c r="M32" i="11"/>
  <c r="M32" i="13" s="1"/>
  <c r="M21" i="11"/>
  <c r="M37" i="11"/>
  <c r="M18" i="11"/>
  <c r="M34" i="11"/>
  <c r="M14" i="11"/>
  <c r="M31" i="11"/>
  <c r="M31" i="13" s="1"/>
  <c r="M20" i="11"/>
  <c r="M20" i="13" s="1"/>
  <c r="M36" i="11"/>
  <c r="M25" i="11"/>
  <c r="M41" i="11"/>
  <c r="M22" i="11"/>
  <c r="M22" i="13" s="1"/>
  <c r="M38" i="11"/>
  <c r="P47" i="11"/>
  <c r="P47" i="12"/>
  <c r="AL55" i="9"/>
  <c r="AL55" i="8"/>
  <c r="AL57" i="6"/>
  <c r="AL55" i="7"/>
  <c r="S46" i="13"/>
  <c r="S46" i="12"/>
  <c r="S46" i="11"/>
  <c r="S46" i="10"/>
  <c r="R44" i="13"/>
  <c r="R44" i="11"/>
  <c r="R48" i="11" s="1"/>
  <c r="R47" i="11" s="1"/>
  <c r="R44" i="12"/>
  <c r="R48" i="12" s="1"/>
  <c r="R44" i="10"/>
  <c r="R48" i="10" s="1"/>
  <c r="D37" i="5"/>
  <c r="Z48" i="11"/>
  <c r="Z47" i="11" s="1"/>
  <c r="AB56" i="9"/>
  <c r="AB56" i="8"/>
  <c r="AB56" i="7"/>
  <c r="AB58" i="6"/>
  <c r="AI18" i="7"/>
  <c r="AI13" i="7"/>
  <c r="AI10" i="7"/>
  <c r="AI7" i="7"/>
  <c r="AI19" i="7"/>
  <c r="AI16" i="7"/>
  <c r="AI11" i="7"/>
  <c r="AI8" i="7"/>
  <c r="AI25" i="7"/>
  <c r="AI17" i="7"/>
  <c r="AI14" i="7"/>
  <c r="AI9" i="7"/>
  <c r="AI5" i="7"/>
  <c r="AI20" i="7"/>
  <c r="AI15" i="7"/>
  <c r="AI12" i="7"/>
  <c r="AI6" i="7"/>
  <c r="R47" i="12"/>
  <c r="M28" i="13"/>
  <c r="M24" i="13"/>
  <c r="M34" i="13"/>
  <c r="M30" i="13"/>
  <c r="M33" i="13"/>
  <c r="M12" i="13"/>
  <c r="M8" i="13"/>
  <c r="M11" i="13"/>
  <c r="M6" i="13"/>
  <c r="M25" i="13"/>
  <c r="M18" i="13"/>
  <c r="M47" i="12"/>
  <c r="M10" i="13"/>
  <c r="Z47" i="12"/>
  <c r="Z48" i="10"/>
  <c r="P48" i="10"/>
  <c r="V48" i="10"/>
  <c r="N48" i="10"/>
  <c r="T48" i="10"/>
  <c r="M64" i="6"/>
  <c r="M70" i="6" s="1"/>
  <c r="M55" i="6"/>
  <c r="M60" i="6" s="1"/>
  <c r="Y56" i="6"/>
  <c r="V60" i="6"/>
  <c r="V56" i="6"/>
  <c r="AI23" i="7" l="1"/>
  <c r="AI24" i="7"/>
  <c r="AI49" i="7"/>
  <c r="AI38" i="7"/>
  <c r="AI35" i="7"/>
  <c r="AI33" i="7"/>
  <c r="AI21" i="7"/>
  <c r="AI46" i="7"/>
  <c r="AI39" i="7"/>
  <c r="AI40" i="7"/>
  <c r="AI37" i="7"/>
  <c r="AI30" i="7"/>
  <c r="AI50" i="7"/>
  <c r="AI22" i="7"/>
  <c r="AI47" i="7"/>
  <c r="AI44" i="7"/>
  <c r="AI41" i="7"/>
  <c r="AI34" i="7"/>
  <c r="AI31" i="7"/>
  <c r="AI51" i="7"/>
  <c r="AI48" i="7"/>
  <c r="F4" i="5"/>
  <c r="E4" i="5"/>
  <c r="E30" i="5"/>
  <c r="Z7" i="23"/>
  <c r="Z59" i="23" s="1"/>
  <c r="M38" i="13"/>
  <c r="M36" i="13"/>
  <c r="M29" i="13"/>
  <c r="M7" i="13"/>
  <c r="AI26" i="9"/>
  <c r="AI36" i="9"/>
  <c r="AI28" i="9"/>
  <c r="AI42" i="9"/>
  <c r="AI49" i="9"/>
  <c r="AI40" i="9"/>
  <c r="AI38" i="9"/>
  <c r="AI21" i="9"/>
  <c r="AI50" i="9"/>
  <c r="AI46" i="9"/>
  <c r="AI33" i="9"/>
  <c r="AI34" i="9"/>
  <c r="AI39" i="9"/>
  <c r="AI22" i="9"/>
  <c r="AI48" i="9"/>
  <c r="AI47" i="9"/>
  <c r="AI31" i="9"/>
  <c r="AI32" i="9"/>
  <c r="AI35" i="9"/>
  <c r="AI23" i="9"/>
  <c r="AI51" i="9"/>
  <c r="AI41" i="9"/>
  <c r="AI37" i="9"/>
  <c r="AI30" i="9"/>
  <c r="AI24" i="9"/>
  <c r="AA53" i="9"/>
  <c r="M41" i="13"/>
  <c r="M23" i="13"/>
  <c r="M5" i="13"/>
  <c r="AI29" i="9"/>
  <c r="AI27" i="9"/>
  <c r="AI44" i="9"/>
  <c r="M37" i="13"/>
  <c r="M17" i="13"/>
  <c r="M40" i="13"/>
  <c r="M9" i="13"/>
  <c r="M27" i="13"/>
  <c r="M14" i="13"/>
  <c r="M21" i="13"/>
  <c r="M26" i="13"/>
  <c r="AI45" i="9"/>
  <c r="AI43" i="9"/>
  <c r="P9" i="25"/>
  <c r="P15" i="25" s="1"/>
  <c r="O9" i="25"/>
  <c r="O15" i="25" s="1"/>
  <c r="O11" i="25"/>
  <c r="P7" i="25"/>
  <c r="P11" i="25"/>
  <c r="O7" i="25"/>
  <c r="X6" i="25"/>
  <c r="X10" i="25"/>
  <c r="M6" i="26"/>
  <c r="M10" i="26"/>
  <c r="R15" i="11"/>
  <c r="R26" i="11"/>
  <c r="R22" i="11"/>
  <c r="R18" i="11"/>
  <c r="R13" i="11"/>
  <c r="R10" i="11"/>
  <c r="R9" i="11"/>
  <c r="R8" i="11"/>
  <c r="R7" i="11"/>
  <c r="R6" i="11"/>
  <c r="R5" i="11"/>
  <c r="R27" i="11"/>
  <c r="R16" i="11"/>
  <c r="R32" i="11"/>
  <c r="R21" i="11"/>
  <c r="R37" i="11"/>
  <c r="R14" i="11"/>
  <c r="R31" i="11"/>
  <c r="R20" i="11"/>
  <c r="R36" i="11"/>
  <c r="R25" i="11"/>
  <c r="R41" i="11"/>
  <c r="R19" i="11"/>
  <c r="R35" i="11"/>
  <c r="R24" i="11"/>
  <c r="R40" i="11"/>
  <c r="R12" i="11"/>
  <c r="R29" i="11"/>
  <c r="R30" i="11"/>
  <c r="R38" i="11"/>
  <c r="R23" i="11"/>
  <c r="R39" i="11"/>
  <c r="R11" i="11"/>
  <c r="R28" i="11"/>
  <c r="R17" i="11"/>
  <c r="R33" i="11"/>
  <c r="R34" i="11"/>
  <c r="M43" i="13"/>
  <c r="M15" i="7"/>
  <c r="M10" i="7"/>
  <c r="M6" i="7"/>
  <c r="M16" i="7"/>
  <c r="M9" i="7"/>
  <c r="M5" i="7"/>
  <c r="M51" i="7"/>
  <c r="M12" i="7"/>
  <c r="T10" i="11"/>
  <c r="T9" i="11"/>
  <c r="T8" i="11"/>
  <c r="T7" i="11"/>
  <c r="T6" i="11"/>
  <c r="T5" i="11"/>
  <c r="T28" i="11"/>
  <c r="T24" i="11"/>
  <c r="T20" i="11"/>
  <c r="T16" i="11"/>
  <c r="T15" i="11"/>
  <c r="T12" i="11"/>
  <c r="T29" i="11"/>
  <c r="T18" i="11"/>
  <c r="T34" i="11"/>
  <c r="T23" i="11"/>
  <c r="T39" i="11"/>
  <c r="T11" i="11"/>
  <c r="T17" i="11"/>
  <c r="T33" i="11"/>
  <c r="T22" i="11"/>
  <c r="T38" i="11"/>
  <c r="T27" i="11"/>
  <c r="T32" i="11"/>
  <c r="T21" i="11"/>
  <c r="T37" i="11"/>
  <c r="T26" i="11"/>
  <c r="T14" i="11"/>
  <c r="T31" i="11"/>
  <c r="T36" i="11"/>
  <c r="T25" i="11"/>
  <c r="T41" i="11"/>
  <c r="T13" i="11"/>
  <c r="T30" i="11"/>
  <c r="T19" i="11"/>
  <c r="T35" i="11"/>
  <c r="T40" i="11"/>
  <c r="Z15" i="11"/>
  <c r="Z13" i="11"/>
  <c r="Z10" i="11"/>
  <c r="Z9" i="11"/>
  <c r="Z8" i="11"/>
  <c r="Z7" i="11"/>
  <c r="Z6" i="11"/>
  <c r="Z5" i="11"/>
  <c r="Z34" i="11"/>
  <c r="Z30" i="11"/>
  <c r="Z26" i="11"/>
  <c r="Z22" i="11"/>
  <c r="Z18" i="11"/>
  <c r="Z19" i="11"/>
  <c r="Z35" i="11"/>
  <c r="Z24" i="11"/>
  <c r="Z40" i="11"/>
  <c r="Z21" i="11"/>
  <c r="Z41" i="11"/>
  <c r="Z23" i="11"/>
  <c r="Z39" i="11"/>
  <c r="Z11" i="11"/>
  <c r="Z28" i="11"/>
  <c r="Z25" i="11"/>
  <c r="Z27" i="11"/>
  <c r="Z16" i="11"/>
  <c r="Z32" i="11"/>
  <c r="Z12" i="11"/>
  <c r="Z29" i="11"/>
  <c r="Z38" i="11"/>
  <c r="Z33" i="11"/>
  <c r="Z14" i="11"/>
  <c r="Z31" i="11"/>
  <c r="Z20" i="11"/>
  <c r="Z36" i="11"/>
  <c r="Z17" i="11"/>
  <c r="Z37" i="11"/>
  <c r="V54" i="8"/>
  <c r="V58" i="8" s="1"/>
  <c r="V54" i="9"/>
  <c r="V54" i="7"/>
  <c r="N10" i="11"/>
  <c r="N9" i="11"/>
  <c r="N8" i="11"/>
  <c r="N7" i="11"/>
  <c r="N6" i="11"/>
  <c r="N5" i="11"/>
  <c r="N15" i="11"/>
  <c r="N21" i="11"/>
  <c r="N37" i="11"/>
  <c r="N26" i="11"/>
  <c r="N14" i="11"/>
  <c r="N31" i="11"/>
  <c r="N11" i="11"/>
  <c r="N28" i="11"/>
  <c r="N25" i="11"/>
  <c r="N41" i="11"/>
  <c r="N13" i="11"/>
  <c r="N30" i="11"/>
  <c r="N19" i="11"/>
  <c r="N35" i="11"/>
  <c r="N16" i="11"/>
  <c r="N32" i="11"/>
  <c r="N36" i="11"/>
  <c r="N12" i="11"/>
  <c r="N29" i="11"/>
  <c r="N18" i="11"/>
  <c r="N34" i="11"/>
  <c r="N23" i="11"/>
  <c r="N39" i="11"/>
  <c r="N20" i="11"/>
  <c r="N40" i="11"/>
  <c r="N17" i="11"/>
  <c r="N33" i="11"/>
  <c r="N22" i="11"/>
  <c r="N38" i="11"/>
  <c r="N27" i="11"/>
  <c r="N24" i="11"/>
  <c r="AI6" i="9"/>
  <c r="AI5" i="9"/>
  <c r="AI53" i="7"/>
  <c r="AI58" i="7" s="1"/>
  <c r="AI25" i="8" s="1"/>
  <c r="AE25" i="23" s="1"/>
  <c r="AE77" i="23" s="1"/>
  <c r="AI25" i="9"/>
  <c r="AI19" i="9"/>
  <c r="AI18" i="9"/>
  <c r="M22" i="12"/>
  <c r="M22" i="24" s="1"/>
  <c r="M64" i="24" s="1"/>
  <c r="M20" i="12"/>
  <c r="M20" i="24" s="1"/>
  <c r="M62" i="24" s="1"/>
  <c r="M18" i="12"/>
  <c r="M18" i="24" s="1"/>
  <c r="M60" i="24" s="1"/>
  <c r="M16" i="12"/>
  <c r="M16" i="24" s="1"/>
  <c r="M58" i="24" s="1"/>
  <c r="M33" i="12"/>
  <c r="M33" i="24" s="1"/>
  <c r="M75" i="24" s="1"/>
  <c r="M39" i="12"/>
  <c r="M39" i="24" s="1"/>
  <c r="M81" i="24" s="1"/>
  <c r="M12" i="12"/>
  <c r="M12" i="24" s="1"/>
  <c r="M54" i="24" s="1"/>
  <c r="M19" i="12"/>
  <c r="M19" i="24" s="1"/>
  <c r="M61" i="24" s="1"/>
  <c r="M8" i="12"/>
  <c r="M8" i="24" s="1"/>
  <c r="M50" i="24" s="1"/>
  <c r="U18" i="12"/>
  <c r="U18" i="13"/>
  <c r="U27" i="12"/>
  <c r="U27" i="13"/>
  <c r="U28" i="12"/>
  <c r="U28" i="13"/>
  <c r="U41" i="12"/>
  <c r="U41" i="13"/>
  <c r="U12" i="12"/>
  <c r="U12" i="13"/>
  <c r="U19" i="12"/>
  <c r="U19" i="13"/>
  <c r="U25" i="12"/>
  <c r="U25" i="13"/>
  <c r="U14" i="12"/>
  <c r="U14" i="13"/>
  <c r="U8" i="12"/>
  <c r="U8" i="13"/>
  <c r="U15" i="12"/>
  <c r="U15" i="13"/>
  <c r="M28" i="7"/>
  <c r="O35" i="9"/>
  <c r="O24" i="9"/>
  <c r="O42" i="9"/>
  <c r="O32" i="9"/>
  <c r="O21" i="9"/>
  <c r="O28" i="9"/>
  <c r="O34" i="9"/>
  <c r="O23" i="9"/>
  <c r="O18" i="9"/>
  <c r="O17" i="9"/>
  <c r="O11" i="9"/>
  <c r="O13" i="9"/>
  <c r="W9" i="9"/>
  <c r="W25" i="9"/>
  <c r="W8" i="9"/>
  <c r="W22" i="9"/>
  <c r="W37" i="9"/>
  <c r="W16" i="9"/>
  <c r="W33" i="9"/>
  <c r="W6" i="9"/>
  <c r="W23" i="9"/>
  <c r="W49" i="9"/>
  <c r="W40" i="9"/>
  <c r="W48" i="9"/>
  <c r="M43" i="7"/>
  <c r="Q18" i="9"/>
  <c r="Q43" i="9"/>
  <c r="Q49" i="9"/>
  <c r="Q39" i="9"/>
  <c r="Q45" i="9"/>
  <c r="Q51" i="9"/>
  <c r="Q41" i="9"/>
  <c r="Q14" i="9"/>
  <c r="Q16" i="9"/>
  <c r="Q6" i="9"/>
  <c r="Q26" i="9"/>
  <c r="O34" i="12"/>
  <c r="O34" i="13"/>
  <c r="O40" i="12"/>
  <c r="O40" i="24" s="1"/>
  <c r="O82" i="24" s="1"/>
  <c r="O40" i="13"/>
  <c r="O30" i="12"/>
  <c r="O30" i="13"/>
  <c r="O36" i="12"/>
  <c r="O36" i="24" s="1"/>
  <c r="O78" i="24" s="1"/>
  <c r="O36" i="13"/>
  <c r="O26" i="12"/>
  <c r="O26" i="13"/>
  <c r="O16" i="12"/>
  <c r="O16" i="24" s="1"/>
  <c r="O58" i="24" s="1"/>
  <c r="O16" i="13"/>
  <c r="O33" i="12"/>
  <c r="O33" i="13"/>
  <c r="O39" i="12"/>
  <c r="O39" i="24" s="1"/>
  <c r="O81" i="24" s="1"/>
  <c r="O39" i="13"/>
  <c r="O6" i="12"/>
  <c r="O6" i="13"/>
  <c r="O10" i="12"/>
  <c r="O10" i="24" s="1"/>
  <c r="O52" i="24" s="1"/>
  <c r="O10" i="13"/>
  <c r="M17" i="7"/>
  <c r="R31" i="9"/>
  <c r="R32" i="9"/>
  <c r="R33" i="9"/>
  <c r="R34" i="9"/>
  <c r="R35" i="9"/>
  <c r="R9" i="9"/>
  <c r="R25" i="9"/>
  <c r="R14" i="9"/>
  <c r="R7" i="9"/>
  <c r="R24" i="9"/>
  <c r="R15" i="9"/>
  <c r="M14" i="7"/>
  <c r="L48" i="9"/>
  <c r="L38" i="9"/>
  <c r="L44" i="9"/>
  <c r="L50" i="9"/>
  <c r="L40" i="9"/>
  <c r="L46" i="9"/>
  <c r="L36" i="9"/>
  <c r="L18" i="9"/>
  <c r="L22" i="9"/>
  <c r="L21" i="9"/>
  <c r="L10" i="9"/>
  <c r="L5" i="9"/>
  <c r="L53" i="7"/>
  <c r="L58" i="7" s="1"/>
  <c r="L48" i="8" s="1"/>
  <c r="L48" i="23" s="1"/>
  <c r="L100" i="23" s="1"/>
  <c r="M37" i="7"/>
  <c r="X15" i="9"/>
  <c r="X30" i="9"/>
  <c r="X49" i="9"/>
  <c r="X17" i="9"/>
  <c r="X40" i="9"/>
  <c r="X8" i="9"/>
  <c r="X22" i="9"/>
  <c r="X42" i="9"/>
  <c r="X13" i="9"/>
  <c r="X29" i="9"/>
  <c r="X39" i="9"/>
  <c r="X34" i="9"/>
  <c r="M32" i="7"/>
  <c r="U13" i="9"/>
  <c r="U29" i="9"/>
  <c r="U6" i="9"/>
  <c r="U23" i="9"/>
  <c r="U36" i="9"/>
  <c r="U12" i="9"/>
  <c r="U28" i="9"/>
  <c r="U11" i="9"/>
  <c r="U27" i="9"/>
  <c r="U48" i="9"/>
  <c r="U41" i="9"/>
  <c r="U49" i="9"/>
  <c r="P40" i="9"/>
  <c r="P30" i="9"/>
  <c r="P31" i="9"/>
  <c r="P32" i="9"/>
  <c r="P33" i="9"/>
  <c r="P34" i="9"/>
  <c r="P21" i="9"/>
  <c r="P10" i="9"/>
  <c r="P26" i="9"/>
  <c r="P17" i="9"/>
  <c r="P8" i="9"/>
  <c r="P22" i="9"/>
  <c r="AH44" i="9"/>
  <c r="AH38" i="9"/>
  <c r="AH40" i="9"/>
  <c r="AH50" i="9"/>
  <c r="AH36" i="9"/>
  <c r="AH30" i="9"/>
  <c r="AH43" i="9"/>
  <c r="AH53" i="7"/>
  <c r="AH58" i="7" s="1"/>
  <c r="AH38" i="8" s="1"/>
  <c r="AH5" i="9"/>
  <c r="AH25" i="9"/>
  <c r="AH19" i="9"/>
  <c r="AH18" i="9"/>
  <c r="AH20" i="9"/>
  <c r="Z53" i="8"/>
  <c r="M34" i="7"/>
  <c r="AD31" i="7"/>
  <c r="AC31" i="9"/>
  <c r="AD31" i="9" s="1"/>
  <c r="AD36" i="7"/>
  <c r="AC36" i="9"/>
  <c r="AD36" i="9" s="1"/>
  <c r="AD21" i="7"/>
  <c r="AC21" i="9"/>
  <c r="AD21" i="9" s="1"/>
  <c r="AD28" i="7"/>
  <c r="AC28" i="9"/>
  <c r="AD28" i="9" s="1"/>
  <c r="AD50" i="7"/>
  <c r="AC50" i="9"/>
  <c r="AD50" i="9" s="1"/>
  <c r="AD44" i="7"/>
  <c r="AC44" i="9"/>
  <c r="AD44" i="9" s="1"/>
  <c r="AD46" i="7"/>
  <c r="AC46" i="9"/>
  <c r="AD46" i="9" s="1"/>
  <c r="AD40" i="7"/>
  <c r="AC40" i="9"/>
  <c r="AD40" i="9" s="1"/>
  <c r="AD18" i="7"/>
  <c r="AC18" i="9"/>
  <c r="AD18" i="9" s="1"/>
  <c r="AD17" i="7"/>
  <c r="AC17" i="9"/>
  <c r="AD17" i="9" s="1"/>
  <c r="AD11" i="7"/>
  <c r="AC11" i="9"/>
  <c r="AD11" i="9" s="1"/>
  <c r="AD13" i="7"/>
  <c r="AC13" i="9"/>
  <c r="AD13" i="9" s="1"/>
  <c r="M33" i="7"/>
  <c r="AI12" i="8"/>
  <c r="AI12" i="9"/>
  <c r="AI9" i="8"/>
  <c r="AI9" i="9"/>
  <c r="AI8" i="8"/>
  <c r="AI8" i="9"/>
  <c r="AI7" i="8"/>
  <c r="AI7" i="9"/>
  <c r="M41" i="12"/>
  <c r="M41" i="24" s="1"/>
  <c r="M83" i="24" s="1"/>
  <c r="M31" i="12"/>
  <c r="M31" i="24" s="1"/>
  <c r="M73" i="24" s="1"/>
  <c r="M37" i="12"/>
  <c r="M37" i="24" s="1"/>
  <c r="M79" i="24" s="1"/>
  <c r="M27" i="12"/>
  <c r="M27" i="24" s="1"/>
  <c r="M69" i="24" s="1"/>
  <c r="M17" i="12"/>
  <c r="M17" i="24" s="1"/>
  <c r="M59" i="24" s="1"/>
  <c r="M23" i="12"/>
  <c r="M23" i="24" s="1"/>
  <c r="M65" i="24" s="1"/>
  <c r="M40" i="12"/>
  <c r="M40" i="24" s="1"/>
  <c r="M82" i="24" s="1"/>
  <c r="M5" i="12"/>
  <c r="M5" i="24" s="1"/>
  <c r="M47" i="24" s="1"/>
  <c r="M43" i="11"/>
  <c r="M9" i="12"/>
  <c r="M9" i="24" s="1"/>
  <c r="M51" i="24" s="1"/>
  <c r="U21" i="12"/>
  <c r="U21" i="13"/>
  <c r="U30" i="12"/>
  <c r="U30" i="13"/>
  <c r="U11" i="12"/>
  <c r="U11" i="13"/>
  <c r="U26" i="12"/>
  <c r="U26" i="13"/>
  <c r="U40" i="12"/>
  <c r="U40" i="13"/>
  <c r="U37" i="12"/>
  <c r="U37" i="13"/>
  <c r="U36" i="12"/>
  <c r="U36" i="13"/>
  <c r="U5" i="12"/>
  <c r="U5" i="13"/>
  <c r="U43" i="11"/>
  <c r="U9" i="13"/>
  <c r="U9" i="12"/>
  <c r="S9" i="24" s="1"/>
  <c r="S51" i="24" s="1"/>
  <c r="M13" i="7"/>
  <c r="M36" i="7"/>
  <c r="O46" i="9"/>
  <c r="O36" i="9"/>
  <c r="O26" i="9"/>
  <c r="O43" i="9"/>
  <c r="O49" i="9"/>
  <c r="O39" i="9"/>
  <c r="O45" i="9"/>
  <c r="O6" i="9"/>
  <c r="O5" i="9"/>
  <c r="O53" i="7"/>
  <c r="O58" i="7" s="1"/>
  <c r="O24" i="8" s="1"/>
  <c r="O24" i="23" s="1"/>
  <c r="O76" i="23" s="1"/>
  <c r="O20" i="9"/>
  <c r="O14" i="9"/>
  <c r="O16" i="9"/>
  <c r="W12" i="9"/>
  <c r="W28" i="9"/>
  <c r="W11" i="9"/>
  <c r="W27" i="9"/>
  <c r="W45" i="9"/>
  <c r="W21" i="9"/>
  <c r="W35" i="9"/>
  <c r="W10" i="9"/>
  <c r="W26" i="9"/>
  <c r="W31" i="9"/>
  <c r="W42" i="9"/>
  <c r="W50" i="9"/>
  <c r="Q47" i="9"/>
  <c r="Q37" i="9"/>
  <c r="Q19" i="9"/>
  <c r="Q33" i="9"/>
  <c r="Q11" i="9"/>
  <c r="Q25" i="9"/>
  <c r="Q35" i="9"/>
  <c r="Q17" i="9"/>
  <c r="Q22" i="9"/>
  <c r="Q21" i="9"/>
  <c r="Q10" i="9"/>
  <c r="Q53" i="7"/>
  <c r="Q58" i="7" s="1"/>
  <c r="Q43" i="8" s="1"/>
  <c r="Q43" i="23" s="1"/>
  <c r="Q95" i="23" s="1"/>
  <c r="Q5" i="9"/>
  <c r="O18" i="12"/>
  <c r="O18" i="13"/>
  <c r="O24" i="12"/>
  <c r="O24" i="13"/>
  <c r="O13" i="12"/>
  <c r="O13" i="13"/>
  <c r="O20" i="12"/>
  <c r="O20" i="13"/>
  <c r="O37" i="12"/>
  <c r="O37" i="13"/>
  <c r="O27" i="12"/>
  <c r="O27" i="13"/>
  <c r="O17" i="12"/>
  <c r="O17" i="13"/>
  <c r="O23" i="12"/>
  <c r="O23" i="13"/>
  <c r="O7" i="12"/>
  <c r="O7" i="13"/>
  <c r="AA53" i="8"/>
  <c r="R41" i="9"/>
  <c r="R42" i="9"/>
  <c r="R43" i="9"/>
  <c r="R44" i="9"/>
  <c r="R45" i="9"/>
  <c r="R46" i="9"/>
  <c r="R12" i="9"/>
  <c r="R28" i="9"/>
  <c r="R19" i="9"/>
  <c r="R13" i="9"/>
  <c r="R29" i="9"/>
  <c r="R18" i="9"/>
  <c r="M30" i="7"/>
  <c r="L32" i="8"/>
  <c r="L32" i="9"/>
  <c r="L7" i="8"/>
  <c r="L7" i="23" s="1"/>
  <c r="L59" i="23" s="1"/>
  <c r="L7" i="9"/>
  <c r="L20" i="8"/>
  <c r="L20" i="9"/>
  <c r="L34" i="8"/>
  <c r="L34" i="23" s="1"/>
  <c r="L86" i="23" s="1"/>
  <c r="L34" i="9"/>
  <c r="L12" i="8"/>
  <c r="L12" i="9"/>
  <c r="L30" i="8"/>
  <c r="L30" i="23" s="1"/>
  <c r="L82" i="23" s="1"/>
  <c r="L30" i="9"/>
  <c r="L51" i="8"/>
  <c r="L51" i="9"/>
  <c r="L37" i="8"/>
  <c r="L37" i="23" s="1"/>
  <c r="L89" i="23" s="1"/>
  <c r="L37" i="9"/>
  <c r="L27" i="8"/>
  <c r="L27" i="9"/>
  <c r="L24" i="8"/>
  <c r="L24" i="23" s="1"/>
  <c r="L76" i="23" s="1"/>
  <c r="L24" i="9"/>
  <c r="L15" i="8"/>
  <c r="L15" i="9"/>
  <c r="L9" i="8"/>
  <c r="L9" i="23" s="1"/>
  <c r="L61" i="23" s="1"/>
  <c r="L9" i="9"/>
  <c r="M45" i="7"/>
  <c r="X18" i="9"/>
  <c r="X38" i="9"/>
  <c r="X53" i="7"/>
  <c r="X58" i="7" s="1"/>
  <c r="X30" i="8" s="1"/>
  <c r="W30" i="23" s="1"/>
  <c r="W82" i="23" s="1"/>
  <c r="X5" i="9"/>
  <c r="X20" i="9"/>
  <c r="X43" i="9"/>
  <c r="X11" i="9"/>
  <c r="X27" i="9"/>
  <c r="X45" i="9"/>
  <c r="X16" i="9"/>
  <c r="X33" i="9"/>
  <c r="X44" i="9"/>
  <c r="M47" i="7"/>
  <c r="M40" i="7"/>
  <c r="U16" i="9"/>
  <c r="U31" i="9"/>
  <c r="U10" i="9"/>
  <c r="U26" i="9"/>
  <c r="U44" i="9"/>
  <c r="U17" i="9"/>
  <c r="U38" i="9"/>
  <c r="U14" i="9"/>
  <c r="U32" i="9"/>
  <c r="U30" i="9"/>
  <c r="U43" i="9"/>
  <c r="U51" i="9"/>
  <c r="P51" i="9"/>
  <c r="P41" i="9"/>
  <c r="P42" i="9"/>
  <c r="P43" i="9"/>
  <c r="P44" i="9"/>
  <c r="P7" i="9"/>
  <c r="P24" i="9"/>
  <c r="P15" i="9"/>
  <c r="P5" i="9"/>
  <c r="P53" i="7"/>
  <c r="P58" i="7" s="1"/>
  <c r="P30" i="8" s="1"/>
  <c r="P30" i="23" s="1"/>
  <c r="P82" i="23" s="1"/>
  <c r="P20" i="9"/>
  <c r="P11" i="9"/>
  <c r="P27" i="9"/>
  <c r="AH28" i="8"/>
  <c r="AD28" i="23" s="1"/>
  <c r="AD80" i="23" s="1"/>
  <c r="AH28" i="9"/>
  <c r="AH21" i="8"/>
  <c r="AD21" i="23" s="1"/>
  <c r="AD73" i="23" s="1"/>
  <c r="AH21" i="9"/>
  <c r="AH23" i="8"/>
  <c r="AD23" i="23" s="1"/>
  <c r="AD75" i="23" s="1"/>
  <c r="AH23" i="9"/>
  <c r="AH34" i="8"/>
  <c r="AD34" i="23" s="1"/>
  <c r="AD86" i="23" s="1"/>
  <c r="AH34" i="9"/>
  <c r="AH47" i="8"/>
  <c r="AD47" i="23" s="1"/>
  <c r="AD99" i="23" s="1"/>
  <c r="AH47" i="9"/>
  <c r="AH37" i="8"/>
  <c r="AD37" i="23" s="1"/>
  <c r="AD89" i="23" s="1"/>
  <c r="AH37" i="9"/>
  <c r="AH27" i="8"/>
  <c r="AD27" i="23" s="1"/>
  <c r="AD79" i="23" s="1"/>
  <c r="AH27" i="9"/>
  <c r="AH9" i="8"/>
  <c r="AD9" i="23" s="1"/>
  <c r="AD61" i="23" s="1"/>
  <c r="AH9" i="9"/>
  <c r="AH8" i="8"/>
  <c r="AD8" i="23" s="1"/>
  <c r="AD60" i="23" s="1"/>
  <c r="AH8" i="9"/>
  <c r="AH7" i="8"/>
  <c r="AD7" i="23" s="1"/>
  <c r="AD59" i="23" s="1"/>
  <c r="AH7" i="9"/>
  <c r="AH6" i="8"/>
  <c r="AD6" i="23" s="1"/>
  <c r="AD58" i="23" s="1"/>
  <c r="AH6" i="9"/>
  <c r="M31" i="7"/>
  <c r="M7" i="7"/>
  <c r="M42" i="7"/>
  <c r="AD42" i="7"/>
  <c r="AC42" i="9"/>
  <c r="AD42" i="9" s="1"/>
  <c r="AD43" i="7"/>
  <c r="AC43" i="9"/>
  <c r="AD43" i="9" s="1"/>
  <c r="AD49" i="7"/>
  <c r="AC49" i="9"/>
  <c r="AD49" i="9" s="1"/>
  <c r="AD32" i="7"/>
  <c r="AC32" i="9"/>
  <c r="AD32" i="9" s="1"/>
  <c r="AD34" i="7"/>
  <c r="AC34" i="9"/>
  <c r="AD34" i="9" s="1"/>
  <c r="AD23" i="7"/>
  <c r="AC23" i="9"/>
  <c r="AD23" i="9" s="1"/>
  <c r="AD30" i="7"/>
  <c r="AC30" i="9"/>
  <c r="AD30" i="9" s="1"/>
  <c r="AD6" i="7"/>
  <c r="AC6" i="9"/>
  <c r="AD6" i="9" s="1"/>
  <c r="AD5" i="7"/>
  <c r="AC5" i="9"/>
  <c r="AC53" i="7"/>
  <c r="AC58" i="7" s="1"/>
  <c r="AC46" i="8" s="1"/>
  <c r="AD46" i="8" s="1"/>
  <c r="AD20" i="7"/>
  <c r="AC20" i="9"/>
  <c r="AD20" i="9" s="1"/>
  <c r="AD14" i="7"/>
  <c r="AC14" i="9"/>
  <c r="AD14" i="9" s="1"/>
  <c r="AD16" i="7"/>
  <c r="AC16" i="9"/>
  <c r="AD16" i="9" s="1"/>
  <c r="M41" i="7"/>
  <c r="V28" i="11"/>
  <c r="V24" i="11"/>
  <c r="V20" i="11"/>
  <c r="V16" i="11"/>
  <c r="V15" i="11"/>
  <c r="V11" i="11"/>
  <c r="V10" i="11"/>
  <c r="V9" i="11"/>
  <c r="V8" i="11"/>
  <c r="V7" i="11"/>
  <c r="V6" i="11"/>
  <c r="V5" i="11"/>
  <c r="V17" i="11"/>
  <c r="V33" i="11"/>
  <c r="V22" i="11"/>
  <c r="V38" i="11"/>
  <c r="V19" i="11"/>
  <c r="V35" i="11"/>
  <c r="V36" i="11"/>
  <c r="V21" i="11"/>
  <c r="V37" i="11"/>
  <c r="V26" i="11"/>
  <c r="V23" i="11"/>
  <c r="V39" i="11"/>
  <c r="V40" i="11"/>
  <c r="V25" i="11"/>
  <c r="V41" i="11"/>
  <c r="V13" i="11"/>
  <c r="V30" i="11"/>
  <c r="V27" i="11"/>
  <c r="V12" i="11"/>
  <c r="V29" i="11"/>
  <c r="V18" i="11"/>
  <c r="V34" i="11"/>
  <c r="V14" i="11"/>
  <c r="V31" i="11"/>
  <c r="V32" i="11"/>
  <c r="Y54" i="8"/>
  <c r="Y58" i="8" s="1"/>
  <c r="Y54" i="9"/>
  <c r="Y54" i="7"/>
  <c r="AI15" i="8"/>
  <c r="AI15" i="9"/>
  <c r="AI14" i="8"/>
  <c r="AI14" i="9"/>
  <c r="AI11" i="8"/>
  <c r="AI11" i="9"/>
  <c r="AI10" i="8"/>
  <c r="AI10" i="9"/>
  <c r="M25" i="12"/>
  <c r="M25" i="24" s="1"/>
  <c r="M67" i="24" s="1"/>
  <c r="M14" i="12"/>
  <c r="M14" i="24" s="1"/>
  <c r="M56" i="24" s="1"/>
  <c r="M21" i="12"/>
  <c r="M21" i="24" s="1"/>
  <c r="M63" i="24" s="1"/>
  <c r="M30" i="12"/>
  <c r="M30" i="24" s="1"/>
  <c r="M72" i="24" s="1"/>
  <c r="M28" i="12"/>
  <c r="M28" i="24" s="1"/>
  <c r="M70" i="24" s="1"/>
  <c r="M26" i="12"/>
  <c r="M26" i="24" s="1"/>
  <c r="M68" i="24" s="1"/>
  <c r="M24" i="12"/>
  <c r="M24" i="24" s="1"/>
  <c r="M66" i="24" s="1"/>
  <c r="M6" i="12"/>
  <c r="M6" i="24" s="1"/>
  <c r="M48" i="24" s="1"/>
  <c r="M10" i="12"/>
  <c r="M10" i="24" s="1"/>
  <c r="M52" i="24" s="1"/>
  <c r="U32" i="12"/>
  <c r="S32" i="24" s="1"/>
  <c r="S74" i="24" s="1"/>
  <c r="U32" i="13"/>
  <c r="U33" i="12"/>
  <c r="S33" i="24" s="1"/>
  <c r="S75" i="24" s="1"/>
  <c r="U33" i="13"/>
  <c r="W39" i="11"/>
  <c r="U39" i="12"/>
  <c r="U39" i="13"/>
  <c r="U34" i="12"/>
  <c r="U34" i="13"/>
  <c r="U24" i="12"/>
  <c r="U24" i="13"/>
  <c r="W22" i="11"/>
  <c r="U22" i="12"/>
  <c r="S22" i="24" s="1"/>
  <c r="S64" i="24" s="1"/>
  <c r="U22" i="13"/>
  <c r="W20" i="11"/>
  <c r="U20" i="12"/>
  <c r="U20" i="13"/>
  <c r="W6" i="11"/>
  <c r="U6" i="12"/>
  <c r="S6" i="24" s="1"/>
  <c r="S48" i="24" s="1"/>
  <c r="U6" i="13"/>
  <c r="U10" i="12"/>
  <c r="S10" i="24" s="1"/>
  <c r="S52" i="24" s="1"/>
  <c r="U10" i="13"/>
  <c r="M25" i="7"/>
  <c r="M44" i="7"/>
  <c r="O30" i="8"/>
  <c r="O30" i="23" s="1"/>
  <c r="O82" i="23" s="1"/>
  <c r="O30" i="9"/>
  <c r="O47" i="8"/>
  <c r="O47" i="23" s="1"/>
  <c r="O99" i="23" s="1"/>
  <c r="O47" i="9"/>
  <c r="O37" i="8"/>
  <c r="O37" i="23" s="1"/>
  <c r="O89" i="23" s="1"/>
  <c r="O37" i="9"/>
  <c r="O27" i="8"/>
  <c r="O27" i="23" s="1"/>
  <c r="O79" i="23" s="1"/>
  <c r="O27" i="9"/>
  <c r="O33" i="8"/>
  <c r="O33" i="23" s="1"/>
  <c r="O85" i="23" s="1"/>
  <c r="O33" i="9"/>
  <c r="O22" i="8"/>
  <c r="O22" i="23" s="1"/>
  <c r="O74" i="23" s="1"/>
  <c r="O22" i="9"/>
  <c r="O29" i="8"/>
  <c r="O29" i="23" s="1"/>
  <c r="O81" i="23" s="1"/>
  <c r="O29" i="9"/>
  <c r="O10" i="8"/>
  <c r="O10" i="23" s="1"/>
  <c r="O62" i="23" s="1"/>
  <c r="O10" i="9"/>
  <c r="O9" i="8"/>
  <c r="O9" i="23" s="1"/>
  <c r="O61" i="23" s="1"/>
  <c r="O9" i="9"/>
  <c r="O25" i="8"/>
  <c r="O25" i="23" s="1"/>
  <c r="O77" i="23" s="1"/>
  <c r="O25" i="9"/>
  <c r="O19" i="8"/>
  <c r="O19" i="23" s="1"/>
  <c r="O71" i="23" s="1"/>
  <c r="O19" i="9"/>
  <c r="M24" i="7"/>
  <c r="W17" i="9"/>
  <c r="W43" i="9"/>
  <c r="W14" i="9"/>
  <c r="W32" i="9"/>
  <c r="W7" i="9"/>
  <c r="W24" i="9"/>
  <c r="W39" i="9"/>
  <c r="W15" i="9"/>
  <c r="W30" i="9"/>
  <c r="W36" i="9"/>
  <c r="W44" i="9"/>
  <c r="M27" i="7"/>
  <c r="Q31" i="8"/>
  <c r="Q31" i="9"/>
  <c r="Q48" i="8"/>
  <c r="Q48" i="9"/>
  <c r="Q38" i="8"/>
  <c r="Q38" i="9"/>
  <c r="Q44" i="8"/>
  <c r="Q44" i="9"/>
  <c r="Q50" i="8"/>
  <c r="Q50" i="9"/>
  <c r="Q40" i="8"/>
  <c r="Q40" i="9"/>
  <c r="Q46" i="8"/>
  <c r="Q46" i="9"/>
  <c r="Q36" i="8"/>
  <c r="Q36" i="9"/>
  <c r="Q27" i="8"/>
  <c r="Q27" i="9"/>
  <c r="Q24" i="8"/>
  <c r="Q24" i="9"/>
  <c r="Q15" i="8"/>
  <c r="Q15" i="9"/>
  <c r="Q9" i="8"/>
  <c r="Q9" i="9"/>
  <c r="O29" i="12"/>
  <c r="O29" i="13"/>
  <c r="O35" i="12"/>
  <c r="O35" i="13"/>
  <c r="O41" i="12"/>
  <c r="O41" i="13"/>
  <c r="O31" i="12"/>
  <c r="O31" i="13"/>
  <c r="O21" i="12"/>
  <c r="O21" i="13"/>
  <c r="O38" i="12"/>
  <c r="O38" i="13"/>
  <c r="O28" i="12"/>
  <c r="O28" i="13"/>
  <c r="O15" i="12"/>
  <c r="O15" i="13"/>
  <c r="O8" i="12"/>
  <c r="O8" i="13"/>
  <c r="R36" i="9"/>
  <c r="R37" i="9"/>
  <c r="R38" i="9"/>
  <c r="R39" i="9"/>
  <c r="R40" i="9"/>
  <c r="R30" i="9"/>
  <c r="R17" i="9"/>
  <c r="R8" i="9"/>
  <c r="R22" i="9"/>
  <c r="R16" i="9"/>
  <c r="R6" i="9"/>
  <c r="R23" i="9"/>
  <c r="M38" i="7"/>
  <c r="S53" i="7"/>
  <c r="L47" i="8"/>
  <c r="L47" i="9"/>
  <c r="L49" i="8"/>
  <c r="L49" i="9"/>
  <c r="L43" i="8"/>
  <c r="L43" i="9"/>
  <c r="L45" i="8"/>
  <c r="L45" i="9"/>
  <c r="L39" i="8"/>
  <c r="L39" i="9"/>
  <c r="L41" i="8"/>
  <c r="L41" i="9"/>
  <c r="L35" i="8"/>
  <c r="L35" i="9"/>
  <c r="L8" i="8"/>
  <c r="L8" i="9"/>
  <c r="L13" i="8"/>
  <c r="L13" i="9"/>
  <c r="L29" i="8"/>
  <c r="L29" i="9"/>
  <c r="L23" i="8"/>
  <c r="L23" i="9"/>
  <c r="L28" i="8"/>
  <c r="L28" i="9"/>
  <c r="X6" i="9"/>
  <c r="X23" i="9"/>
  <c r="X41" i="8"/>
  <c r="X41" i="9"/>
  <c r="X9" i="9"/>
  <c r="X25" i="9"/>
  <c r="X48" i="9"/>
  <c r="X14" i="9"/>
  <c r="X31" i="9"/>
  <c r="X50" i="9"/>
  <c r="X21" i="9"/>
  <c r="X35" i="8"/>
  <c r="X35" i="9"/>
  <c r="X47" i="9"/>
  <c r="M21" i="7"/>
  <c r="M48" i="7"/>
  <c r="U21" i="9"/>
  <c r="U42" i="9"/>
  <c r="U15" i="9"/>
  <c r="U33" i="9"/>
  <c r="U5" i="9"/>
  <c r="U53" i="7"/>
  <c r="U58" i="7" s="1"/>
  <c r="U29" i="8" s="1"/>
  <c r="U20" i="9"/>
  <c r="U46" i="9"/>
  <c r="U19" i="9"/>
  <c r="U34" i="9"/>
  <c r="U37" i="9"/>
  <c r="U45" i="9"/>
  <c r="M19" i="7"/>
  <c r="P35" i="8"/>
  <c r="P35" i="23" s="1"/>
  <c r="P87" i="23" s="1"/>
  <c r="P35" i="9"/>
  <c r="P36" i="8"/>
  <c r="P36" i="23" s="1"/>
  <c r="P88" i="23" s="1"/>
  <c r="P36" i="9"/>
  <c r="P37" i="8"/>
  <c r="P37" i="23" s="1"/>
  <c r="P89" i="23" s="1"/>
  <c r="P37" i="9"/>
  <c r="P38" i="8"/>
  <c r="P38" i="23" s="1"/>
  <c r="P90" i="23" s="1"/>
  <c r="P38" i="9"/>
  <c r="P39" i="8"/>
  <c r="P39" i="23" s="1"/>
  <c r="P91" i="23" s="1"/>
  <c r="P39" i="9"/>
  <c r="P13" i="8"/>
  <c r="P13" i="23" s="1"/>
  <c r="P65" i="23" s="1"/>
  <c r="P13" i="9"/>
  <c r="P29" i="8"/>
  <c r="P29" i="9"/>
  <c r="P18" i="8"/>
  <c r="P18" i="23" s="1"/>
  <c r="P70" i="23" s="1"/>
  <c r="P18" i="9"/>
  <c r="P9" i="8"/>
  <c r="P9" i="23" s="1"/>
  <c r="P61" i="23" s="1"/>
  <c r="P9" i="9"/>
  <c r="P25" i="8"/>
  <c r="P25" i="23" s="1"/>
  <c r="P77" i="23" s="1"/>
  <c r="P25" i="9"/>
  <c r="P14" i="8"/>
  <c r="P14" i="23" s="1"/>
  <c r="P66" i="23" s="1"/>
  <c r="P14" i="9"/>
  <c r="AH49" i="8"/>
  <c r="AD49" i="23" s="1"/>
  <c r="AD101" i="23" s="1"/>
  <c r="AH49" i="9"/>
  <c r="AH39" i="8"/>
  <c r="AD39" i="23" s="1"/>
  <c r="AD91" i="23" s="1"/>
  <c r="AH39" i="9"/>
  <c r="AH45" i="8"/>
  <c r="AD45" i="23" s="1"/>
  <c r="AD97" i="23" s="1"/>
  <c r="AH45" i="9"/>
  <c r="AH51" i="8"/>
  <c r="AD51" i="23" s="1"/>
  <c r="AD103" i="23" s="1"/>
  <c r="AH51" i="9"/>
  <c r="AH41" i="8"/>
  <c r="AD41" i="23" s="1"/>
  <c r="AD93" i="23" s="1"/>
  <c r="AH41" i="9"/>
  <c r="AH31" i="8"/>
  <c r="AD31" i="23" s="1"/>
  <c r="AD83" i="23" s="1"/>
  <c r="AH31" i="9"/>
  <c r="AH48" i="8"/>
  <c r="AD48" i="23" s="1"/>
  <c r="AD100" i="23" s="1"/>
  <c r="AH48" i="9"/>
  <c r="AH42" i="8"/>
  <c r="AD42" i="23" s="1"/>
  <c r="AD94" i="23" s="1"/>
  <c r="AH42" i="9"/>
  <c r="AH14" i="8"/>
  <c r="AD14" i="23" s="1"/>
  <c r="AD66" i="23" s="1"/>
  <c r="AH14" i="9"/>
  <c r="AH11" i="8"/>
  <c r="AD11" i="23" s="1"/>
  <c r="AD63" i="23" s="1"/>
  <c r="AH11" i="9"/>
  <c r="AH10" i="8"/>
  <c r="AD10" i="23" s="1"/>
  <c r="AD62" i="23" s="1"/>
  <c r="AH10" i="9"/>
  <c r="AH12" i="8"/>
  <c r="AD12" i="23" s="1"/>
  <c r="AD64" i="23" s="1"/>
  <c r="AH12" i="9"/>
  <c r="M39" i="7"/>
  <c r="M23" i="7"/>
  <c r="M50" i="7"/>
  <c r="AD26" i="7"/>
  <c r="AC26" i="9"/>
  <c r="AD26" i="9" s="1"/>
  <c r="AC27" i="8"/>
  <c r="AD27" i="8" s="1"/>
  <c r="AD27" i="7"/>
  <c r="AC27" i="9"/>
  <c r="AD27" i="9" s="1"/>
  <c r="AD33" i="7"/>
  <c r="AC33" i="8"/>
  <c r="AD33" i="8" s="1"/>
  <c r="AC33" i="9"/>
  <c r="AD33" i="9" s="1"/>
  <c r="AD39" i="7"/>
  <c r="AC39" i="8"/>
  <c r="AD39" i="8" s="1"/>
  <c r="AC39" i="9"/>
  <c r="AD39" i="9" s="1"/>
  <c r="AD45" i="7"/>
  <c r="AC45" i="9"/>
  <c r="AD45" i="9" s="1"/>
  <c r="AC51" i="8"/>
  <c r="AD51" i="8" s="1"/>
  <c r="AD51" i="7"/>
  <c r="AC51" i="9"/>
  <c r="AD51" i="9" s="1"/>
  <c r="AD41" i="7"/>
  <c r="AC41" i="8"/>
  <c r="AD41" i="8" s="1"/>
  <c r="AC41" i="9"/>
  <c r="AD41" i="9" s="1"/>
  <c r="AD10" i="7"/>
  <c r="AC10" i="8"/>
  <c r="AD10" i="8" s="1"/>
  <c r="AC10" i="9"/>
  <c r="AD10" i="9" s="1"/>
  <c r="AD9" i="7"/>
  <c r="AC9" i="9"/>
  <c r="AD9" i="9" s="1"/>
  <c r="AC25" i="8"/>
  <c r="AD25" i="8" s="1"/>
  <c r="AD25" i="7"/>
  <c r="AC25" i="9"/>
  <c r="AD25" i="9" s="1"/>
  <c r="AD19" i="7"/>
  <c r="AC19" i="9"/>
  <c r="AD19" i="9" s="1"/>
  <c r="M22" i="7"/>
  <c r="M49" i="7"/>
  <c r="V35" i="7"/>
  <c r="V33" i="7"/>
  <c r="V51" i="7"/>
  <c r="V46" i="7"/>
  <c r="V43" i="7"/>
  <c r="V38" i="7"/>
  <c r="V28" i="7"/>
  <c r="V25" i="7"/>
  <c r="V20" i="7"/>
  <c r="V17" i="7"/>
  <c r="V12" i="7"/>
  <c r="V9" i="7"/>
  <c r="V5" i="7"/>
  <c r="V49" i="7"/>
  <c r="V44" i="7"/>
  <c r="V41" i="7"/>
  <c r="V36" i="7"/>
  <c r="V30" i="7"/>
  <c r="V26" i="7"/>
  <c r="V23" i="7"/>
  <c r="V18" i="7"/>
  <c r="V15" i="7"/>
  <c r="V10" i="7"/>
  <c r="V6" i="7"/>
  <c r="V50" i="7"/>
  <c r="V47" i="7"/>
  <c r="V42" i="7"/>
  <c r="V39" i="7"/>
  <c r="V31" i="7"/>
  <c r="V29" i="7"/>
  <c r="V24" i="7"/>
  <c r="V21" i="7"/>
  <c r="V16" i="7"/>
  <c r="V13" i="7"/>
  <c r="V7" i="7"/>
  <c r="V48" i="7"/>
  <c r="V45" i="7"/>
  <c r="V40" i="7"/>
  <c r="V37" i="7"/>
  <c r="V34" i="7"/>
  <c r="V32" i="7"/>
  <c r="V27" i="7"/>
  <c r="V22" i="7"/>
  <c r="V19" i="7"/>
  <c r="V14" i="7"/>
  <c r="V11" i="7"/>
  <c r="V8" i="7"/>
  <c r="L44" i="13"/>
  <c r="L44" i="12"/>
  <c r="L48" i="12" s="1"/>
  <c r="L44" i="10"/>
  <c r="L44" i="11"/>
  <c r="L48" i="11" s="1"/>
  <c r="P15" i="11"/>
  <c r="P10" i="11"/>
  <c r="P9" i="11"/>
  <c r="P8" i="11"/>
  <c r="P7" i="11"/>
  <c r="P6" i="11"/>
  <c r="P5" i="11"/>
  <c r="P25" i="11"/>
  <c r="P41" i="11"/>
  <c r="P13" i="11"/>
  <c r="P30" i="11"/>
  <c r="P19" i="11"/>
  <c r="P35" i="11"/>
  <c r="P20" i="11"/>
  <c r="P36" i="11"/>
  <c r="P12" i="11"/>
  <c r="P29" i="11"/>
  <c r="P18" i="11"/>
  <c r="P34" i="11"/>
  <c r="P23" i="11"/>
  <c r="P39" i="11"/>
  <c r="P11" i="11"/>
  <c r="P24" i="11"/>
  <c r="P40" i="11"/>
  <c r="P17" i="11"/>
  <c r="P33" i="11"/>
  <c r="P22" i="11"/>
  <c r="P38" i="11"/>
  <c r="P27" i="11"/>
  <c r="P28" i="11"/>
  <c r="P21" i="11"/>
  <c r="P37" i="11"/>
  <c r="P26" i="11"/>
  <c r="P14" i="11"/>
  <c r="P31" i="11"/>
  <c r="P16" i="11"/>
  <c r="P32" i="11"/>
  <c r="Y60" i="6"/>
  <c r="AI20" i="8"/>
  <c r="AI20" i="9"/>
  <c r="AI17" i="8"/>
  <c r="AI17" i="9"/>
  <c r="AI16" i="8"/>
  <c r="AI16" i="9"/>
  <c r="AI13" i="8"/>
  <c r="AI13" i="9"/>
  <c r="S44" i="13"/>
  <c r="S44" i="12"/>
  <c r="S44" i="11"/>
  <c r="S44" i="10"/>
  <c r="M38" i="12"/>
  <c r="M38" i="24" s="1"/>
  <c r="M80" i="24" s="1"/>
  <c r="M36" i="12"/>
  <c r="M36" i="24" s="1"/>
  <c r="M78" i="24" s="1"/>
  <c r="M34" i="12"/>
  <c r="M34" i="24" s="1"/>
  <c r="M76" i="24" s="1"/>
  <c r="M32" i="12"/>
  <c r="M32" i="24" s="1"/>
  <c r="M74" i="24" s="1"/>
  <c r="M13" i="12"/>
  <c r="M13" i="24" s="1"/>
  <c r="M55" i="24" s="1"/>
  <c r="M11" i="12"/>
  <c r="M11" i="24" s="1"/>
  <c r="M53" i="24" s="1"/>
  <c r="M29" i="12"/>
  <c r="M29" i="24" s="1"/>
  <c r="M71" i="24" s="1"/>
  <c r="M35" i="12"/>
  <c r="M35" i="24" s="1"/>
  <c r="M77" i="24" s="1"/>
  <c r="M7" i="12"/>
  <c r="M7" i="24" s="1"/>
  <c r="M49" i="24" s="1"/>
  <c r="M15" i="12"/>
  <c r="M15" i="24" s="1"/>
  <c r="M57" i="24" s="1"/>
  <c r="W16" i="11"/>
  <c r="U16" i="12"/>
  <c r="S16" i="24" s="1"/>
  <c r="S58" i="24" s="1"/>
  <c r="U16" i="13"/>
  <c r="W17" i="11"/>
  <c r="U17" i="12"/>
  <c r="U17" i="13"/>
  <c r="W23" i="11"/>
  <c r="U23" i="12"/>
  <c r="S23" i="24" s="1"/>
  <c r="S65" i="24" s="1"/>
  <c r="U23" i="13"/>
  <c r="W29" i="11"/>
  <c r="U29" i="12"/>
  <c r="U29" i="13"/>
  <c r="W35" i="11"/>
  <c r="U35" i="12"/>
  <c r="S35" i="24" s="1"/>
  <c r="S77" i="24" s="1"/>
  <c r="U35" i="13"/>
  <c r="W13" i="11"/>
  <c r="U13" i="12"/>
  <c r="U13" i="13"/>
  <c r="W31" i="11"/>
  <c r="U31" i="12"/>
  <c r="S31" i="24" s="1"/>
  <c r="S73" i="24" s="1"/>
  <c r="U31" i="13"/>
  <c r="W7" i="11"/>
  <c r="U7" i="12"/>
  <c r="U7" i="13"/>
  <c r="W38" i="11"/>
  <c r="U38" i="12"/>
  <c r="S38" i="24" s="1"/>
  <c r="S80" i="24" s="1"/>
  <c r="U38" i="13"/>
  <c r="M8" i="7"/>
  <c r="O51" i="8"/>
  <c r="O51" i="9"/>
  <c r="O41" i="8"/>
  <c r="O41" i="9"/>
  <c r="O31" i="8"/>
  <c r="O31" i="9"/>
  <c r="O48" i="8"/>
  <c r="O48" i="9"/>
  <c r="O38" i="8"/>
  <c r="O38" i="9"/>
  <c r="O44" i="8"/>
  <c r="O44" i="9"/>
  <c r="O50" i="8"/>
  <c r="O50" i="9"/>
  <c r="O40" i="8"/>
  <c r="O40" i="9"/>
  <c r="O15" i="8"/>
  <c r="O15" i="9"/>
  <c r="O12" i="8"/>
  <c r="O12" i="9"/>
  <c r="O8" i="8"/>
  <c r="O8" i="9"/>
  <c r="O7" i="8"/>
  <c r="O7" i="9"/>
  <c r="W5" i="9"/>
  <c r="W53" i="7"/>
  <c r="W58" i="7" s="1"/>
  <c r="W25" i="8" s="1"/>
  <c r="W20" i="9"/>
  <c r="W51" i="9"/>
  <c r="W19" i="9"/>
  <c r="W34" i="9"/>
  <c r="W13" i="9"/>
  <c r="W29" i="9"/>
  <c r="W47" i="9"/>
  <c r="W18" i="9"/>
  <c r="W41" i="9"/>
  <c r="W38" i="9"/>
  <c r="W46" i="9"/>
  <c r="M35" i="7"/>
  <c r="Q42" i="8"/>
  <c r="Q42" i="9"/>
  <c r="Q32" i="8"/>
  <c r="Q32" i="9"/>
  <c r="Q7" i="8"/>
  <c r="Q7" i="9"/>
  <c r="Q20" i="8"/>
  <c r="Q20" i="9"/>
  <c r="Q34" i="8"/>
  <c r="Q34" i="9"/>
  <c r="Q12" i="8"/>
  <c r="Q12" i="9"/>
  <c r="Q30" i="8"/>
  <c r="Q30" i="9"/>
  <c r="Q8" i="8"/>
  <c r="Q8" i="9"/>
  <c r="Q13" i="8"/>
  <c r="Q13" i="9"/>
  <c r="Q29" i="8"/>
  <c r="Q29" i="9"/>
  <c r="Q23" i="8"/>
  <c r="Q23" i="9"/>
  <c r="Q28" i="8"/>
  <c r="Q28" i="9"/>
  <c r="O12" i="12"/>
  <c r="O12" i="13"/>
  <c r="O19" i="12"/>
  <c r="O19" i="13"/>
  <c r="O25" i="12"/>
  <c r="O25" i="13"/>
  <c r="O14" i="12"/>
  <c r="O14" i="13"/>
  <c r="O32" i="12"/>
  <c r="O32" i="13"/>
  <c r="O22" i="12"/>
  <c r="O22" i="13"/>
  <c r="O11" i="12"/>
  <c r="O11" i="13"/>
  <c r="O5" i="12"/>
  <c r="O43" i="11"/>
  <c r="O5" i="13"/>
  <c r="O9" i="12"/>
  <c r="O9" i="24" s="1"/>
  <c r="O51" i="24" s="1"/>
  <c r="O9" i="13"/>
  <c r="R47" i="9"/>
  <c r="R48" i="9"/>
  <c r="R49" i="9"/>
  <c r="R50" i="9"/>
  <c r="R51" i="9"/>
  <c r="R53" i="7"/>
  <c r="R5" i="9"/>
  <c r="R20" i="9"/>
  <c r="R11" i="9"/>
  <c r="R27" i="9"/>
  <c r="R21" i="9"/>
  <c r="R10" i="9"/>
  <c r="R26" i="9"/>
  <c r="M46" i="7"/>
  <c r="M11" i="7"/>
  <c r="L31" i="8"/>
  <c r="L31" i="9"/>
  <c r="L33" i="8"/>
  <c r="L33" i="9"/>
  <c r="L19" i="8"/>
  <c r="L19" i="9"/>
  <c r="L25" i="8"/>
  <c r="L25" i="9"/>
  <c r="L11" i="8"/>
  <c r="L11" i="9"/>
  <c r="L17" i="8"/>
  <c r="L17" i="9"/>
  <c r="L42" i="8"/>
  <c r="L42" i="9"/>
  <c r="L14" i="8"/>
  <c r="L14" i="9"/>
  <c r="L16" i="8"/>
  <c r="L16" i="9"/>
  <c r="L6" i="8"/>
  <c r="L6" i="9"/>
  <c r="L26" i="8"/>
  <c r="L26" i="9"/>
  <c r="M29" i="7"/>
  <c r="X10" i="9"/>
  <c r="X26" i="9"/>
  <c r="X46" i="9"/>
  <c r="X12" i="8"/>
  <c r="X12" i="9"/>
  <c r="X28" i="9"/>
  <c r="X51" i="9"/>
  <c r="X19" i="9"/>
  <c r="X37" i="9"/>
  <c r="X7" i="9"/>
  <c r="X24" i="9"/>
  <c r="X36" i="9"/>
  <c r="X32" i="8"/>
  <c r="X32" i="9"/>
  <c r="M18" i="7"/>
  <c r="U7" i="9"/>
  <c r="U24" i="9"/>
  <c r="U50" i="9"/>
  <c r="U18" i="9"/>
  <c r="U35" i="9"/>
  <c r="U9" i="9"/>
  <c r="U25" i="9"/>
  <c r="U8" i="9"/>
  <c r="U22" i="9"/>
  <c r="U40" i="9"/>
  <c r="U39" i="9"/>
  <c r="U47" i="9"/>
  <c r="P45" i="8"/>
  <c r="P45" i="9"/>
  <c r="P46" i="8"/>
  <c r="P46" i="9"/>
  <c r="P47" i="8"/>
  <c r="P47" i="9"/>
  <c r="P48" i="8"/>
  <c r="P48" i="9"/>
  <c r="P49" i="8"/>
  <c r="P49" i="9"/>
  <c r="P50" i="8"/>
  <c r="P50" i="9"/>
  <c r="P16" i="8"/>
  <c r="P16" i="9"/>
  <c r="P6" i="8"/>
  <c r="P6" i="9"/>
  <c r="P23" i="8"/>
  <c r="P23" i="9"/>
  <c r="P12" i="8"/>
  <c r="P12" i="9"/>
  <c r="P28" i="8"/>
  <c r="P28" i="9"/>
  <c r="P19" i="8"/>
  <c r="P19" i="9"/>
  <c r="AH33" i="8"/>
  <c r="AH33" i="9"/>
  <c r="AH22" i="8"/>
  <c r="AH22" i="9"/>
  <c r="AH29" i="8"/>
  <c r="AH29" i="9"/>
  <c r="AH35" i="8"/>
  <c r="AH35" i="9"/>
  <c r="AH24" i="8"/>
  <c r="AH24" i="9"/>
  <c r="AH46" i="8"/>
  <c r="AH46" i="9"/>
  <c r="AH32" i="8"/>
  <c r="AH32" i="9"/>
  <c r="AH26" i="8"/>
  <c r="AH26" i="9"/>
  <c r="AH17" i="8"/>
  <c r="AH17" i="9"/>
  <c r="AH16" i="8"/>
  <c r="AH16" i="9"/>
  <c r="AH13" i="8"/>
  <c r="AH13" i="9"/>
  <c r="AH15" i="8"/>
  <c r="AH15" i="9"/>
  <c r="M26" i="7"/>
  <c r="AD47" i="7"/>
  <c r="AC47" i="8"/>
  <c r="AD47" i="8" s="1"/>
  <c r="AC47" i="9"/>
  <c r="AD47" i="9" s="1"/>
  <c r="AD37" i="7"/>
  <c r="AC37" i="8"/>
  <c r="AD37" i="8" s="1"/>
  <c r="AC37" i="9"/>
  <c r="AD37" i="9" s="1"/>
  <c r="AD38" i="7"/>
  <c r="AC38" i="8"/>
  <c r="AD38" i="8" s="1"/>
  <c r="AC38" i="9"/>
  <c r="AD38" i="9" s="1"/>
  <c r="AD48" i="7"/>
  <c r="AC48" i="9"/>
  <c r="AD48" i="9" s="1"/>
  <c r="AD22" i="7"/>
  <c r="AC22" i="8"/>
  <c r="AD22" i="8" s="1"/>
  <c r="AC22" i="9"/>
  <c r="AD22" i="9" s="1"/>
  <c r="AC29" i="8"/>
  <c r="AD29" i="8" s="1"/>
  <c r="AD29" i="7"/>
  <c r="AC29" i="9"/>
  <c r="AD29" i="9" s="1"/>
  <c r="AD35" i="7"/>
  <c r="AC35" i="9"/>
  <c r="AD35" i="9" s="1"/>
  <c r="AD24" i="7"/>
  <c r="AC24" i="9"/>
  <c r="AD24" i="9" s="1"/>
  <c r="AC15" i="8"/>
  <c r="AD15" i="8" s="1"/>
  <c r="AD15" i="7"/>
  <c r="AC15" i="9"/>
  <c r="AD15" i="9" s="1"/>
  <c r="AD12" i="7"/>
  <c r="AC12" i="8"/>
  <c r="AD12" i="8" s="1"/>
  <c r="AC12" i="9"/>
  <c r="AD12" i="9" s="1"/>
  <c r="AD8" i="7"/>
  <c r="AC8" i="9"/>
  <c r="AD8" i="9" s="1"/>
  <c r="AC7" i="8"/>
  <c r="AD7" i="8" s="1"/>
  <c r="AD7" i="7"/>
  <c r="AC7" i="9"/>
  <c r="AD7" i="9" s="1"/>
  <c r="M20" i="7"/>
  <c r="S45" i="13"/>
  <c r="S45" i="12"/>
  <c r="S45" i="10"/>
  <c r="S45" i="11"/>
  <c r="D35" i="5"/>
  <c r="L15" i="23" l="1"/>
  <c r="L67" i="23" s="1"/>
  <c r="L27" i="23"/>
  <c r="L79" i="23" s="1"/>
  <c r="L51" i="23"/>
  <c r="L103" i="23" s="1"/>
  <c r="L12" i="23"/>
  <c r="L64" i="23" s="1"/>
  <c r="L20" i="23"/>
  <c r="L72" i="23" s="1"/>
  <c r="L32" i="23"/>
  <c r="L84" i="23" s="1"/>
  <c r="O7" i="24"/>
  <c r="O49" i="24" s="1"/>
  <c r="O17" i="24"/>
  <c r="O59" i="24" s="1"/>
  <c r="O37" i="24"/>
  <c r="O79" i="24" s="1"/>
  <c r="O13" i="24"/>
  <c r="O55" i="24" s="1"/>
  <c r="O18" i="24"/>
  <c r="O60" i="24" s="1"/>
  <c r="S15" i="24"/>
  <c r="S57" i="24" s="1"/>
  <c r="S14" i="24"/>
  <c r="S56" i="24" s="1"/>
  <c r="S19" i="24"/>
  <c r="S61" i="24" s="1"/>
  <c r="S41" i="24"/>
  <c r="S83" i="24" s="1"/>
  <c r="S27" i="24"/>
  <c r="S69" i="24" s="1"/>
  <c r="O23" i="24"/>
  <c r="O65" i="24" s="1"/>
  <c r="O27" i="24"/>
  <c r="O69" i="24" s="1"/>
  <c r="O20" i="24"/>
  <c r="O62" i="24" s="1"/>
  <c r="O24" i="24"/>
  <c r="O66" i="24" s="1"/>
  <c r="AD38" i="23"/>
  <c r="AD90" i="23" s="1"/>
  <c r="S8" i="24"/>
  <c r="S50" i="24" s="1"/>
  <c r="S25" i="24"/>
  <c r="S67" i="24" s="1"/>
  <c r="S12" i="24"/>
  <c r="S54" i="24" s="1"/>
  <c r="S28" i="24"/>
  <c r="S70" i="24" s="1"/>
  <c r="S18" i="24"/>
  <c r="S60" i="24" s="1"/>
  <c r="AI19" i="8"/>
  <c r="AE19" i="23" s="1"/>
  <c r="AE71" i="23" s="1"/>
  <c r="AD13" i="23"/>
  <c r="AD65" i="23" s="1"/>
  <c r="AD17" i="23"/>
  <c r="AD69" i="23" s="1"/>
  <c r="AD32" i="23"/>
  <c r="AD84" i="23" s="1"/>
  <c r="AD24" i="23"/>
  <c r="AD76" i="23" s="1"/>
  <c r="AD29" i="23"/>
  <c r="AD81" i="23" s="1"/>
  <c r="AD33" i="23"/>
  <c r="AD85" i="23" s="1"/>
  <c r="P16" i="23"/>
  <c r="P68" i="23" s="1"/>
  <c r="P49" i="23"/>
  <c r="P101" i="23" s="1"/>
  <c r="P47" i="23"/>
  <c r="P99" i="23" s="1"/>
  <c r="P45" i="23"/>
  <c r="P97" i="23" s="1"/>
  <c r="L6" i="23"/>
  <c r="L58" i="23" s="1"/>
  <c r="L14" i="23"/>
  <c r="L66" i="23" s="1"/>
  <c r="L17" i="23"/>
  <c r="L69" i="23" s="1"/>
  <c r="L25" i="23"/>
  <c r="L77" i="23" s="1"/>
  <c r="L33" i="23"/>
  <c r="L85" i="23" s="1"/>
  <c r="L28" i="23"/>
  <c r="L80" i="23" s="1"/>
  <c r="L29" i="23"/>
  <c r="L81" i="23" s="1"/>
  <c r="L8" i="23"/>
  <c r="L60" i="23" s="1"/>
  <c r="L41" i="23"/>
  <c r="L93" i="23" s="1"/>
  <c r="L45" i="23"/>
  <c r="L97" i="23" s="1"/>
  <c r="L49" i="23"/>
  <c r="L101" i="23" s="1"/>
  <c r="O15" i="24"/>
  <c r="O57" i="24" s="1"/>
  <c r="O38" i="24"/>
  <c r="O80" i="24" s="1"/>
  <c r="O31" i="24"/>
  <c r="O73" i="24" s="1"/>
  <c r="O35" i="24"/>
  <c r="O77" i="24" s="1"/>
  <c r="Q9" i="23"/>
  <c r="Q61" i="23" s="1"/>
  <c r="Q24" i="23"/>
  <c r="Q76" i="23" s="1"/>
  <c r="Q36" i="23"/>
  <c r="Q88" i="23" s="1"/>
  <c r="Q40" i="23"/>
  <c r="Q92" i="23" s="1"/>
  <c r="Q44" i="23"/>
  <c r="Q96" i="23" s="1"/>
  <c r="Q48" i="23"/>
  <c r="Q100" i="23" s="1"/>
  <c r="S24" i="24"/>
  <c r="S66" i="24" s="1"/>
  <c r="S39" i="24"/>
  <c r="S81" i="24" s="1"/>
  <c r="AE10" i="23"/>
  <c r="AE62" i="23" s="1"/>
  <c r="AE14" i="23"/>
  <c r="AE66" i="23" s="1"/>
  <c r="S36" i="24"/>
  <c r="S78" i="24" s="1"/>
  <c r="S40" i="24"/>
  <c r="S82" i="24" s="1"/>
  <c r="S11" i="24"/>
  <c r="S53" i="24" s="1"/>
  <c r="S21" i="24"/>
  <c r="S63" i="24" s="1"/>
  <c r="AE7" i="23"/>
  <c r="AE59" i="23" s="1"/>
  <c r="AE9" i="23"/>
  <c r="AE61" i="23" s="1"/>
  <c r="L23" i="23"/>
  <c r="L75" i="23" s="1"/>
  <c r="L13" i="23"/>
  <c r="L65" i="23" s="1"/>
  <c r="L35" i="23"/>
  <c r="L87" i="23" s="1"/>
  <c r="L39" i="23"/>
  <c r="L91" i="23" s="1"/>
  <c r="L43" i="23"/>
  <c r="L95" i="23" s="1"/>
  <c r="L47" i="23"/>
  <c r="L99" i="23" s="1"/>
  <c r="O8" i="24"/>
  <c r="O50" i="24" s="1"/>
  <c r="O28" i="24"/>
  <c r="O70" i="24" s="1"/>
  <c r="O21" i="24"/>
  <c r="O63" i="24" s="1"/>
  <c r="O41" i="24"/>
  <c r="O83" i="24" s="1"/>
  <c r="O29" i="24"/>
  <c r="O71" i="24" s="1"/>
  <c r="Q15" i="23"/>
  <c r="Q67" i="23" s="1"/>
  <c r="Q27" i="23"/>
  <c r="Q79" i="23" s="1"/>
  <c r="Q46" i="23"/>
  <c r="Q98" i="23" s="1"/>
  <c r="Q50" i="23"/>
  <c r="Q102" i="23" s="1"/>
  <c r="Q38" i="23"/>
  <c r="Q90" i="23" s="1"/>
  <c r="Q31" i="23"/>
  <c r="Q83" i="23" s="1"/>
  <c r="S20" i="24"/>
  <c r="S62" i="24" s="1"/>
  <c r="S34" i="24"/>
  <c r="S76" i="24" s="1"/>
  <c r="AE11" i="23"/>
  <c r="AE63" i="23" s="1"/>
  <c r="AE15" i="23"/>
  <c r="AE67" i="23" s="1"/>
  <c r="S5" i="24"/>
  <c r="S47" i="24" s="1"/>
  <c r="S37" i="24"/>
  <c r="S79" i="24" s="1"/>
  <c r="S26" i="24"/>
  <c r="S68" i="24" s="1"/>
  <c r="S30" i="24"/>
  <c r="S72" i="24" s="1"/>
  <c r="AE8" i="23"/>
  <c r="AE60" i="23" s="1"/>
  <c r="AE12" i="23"/>
  <c r="AE64" i="23" s="1"/>
  <c r="O6" i="24"/>
  <c r="O48" i="24" s="1"/>
  <c r="O33" i="24"/>
  <c r="O75" i="24" s="1"/>
  <c r="O26" i="24"/>
  <c r="O68" i="24" s="1"/>
  <c r="O30" i="24"/>
  <c r="O72" i="24" s="1"/>
  <c r="O34" i="24"/>
  <c r="O76" i="24" s="1"/>
  <c r="W12" i="23"/>
  <c r="W64" i="23" s="1"/>
  <c r="AD15" i="23"/>
  <c r="AD67" i="23" s="1"/>
  <c r="AD16" i="23"/>
  <c r="AD68" i="23" s="1"/>
  <c r="AD26" i="23"/>
  <c r="AD78" i="23" s="1"/>
  <c r="AD46" i="23"/>
  <c r="AD98" i="23" s="1"/>
  <c r="AD35" i="23"/>
  <c r="AD87" i="23" s="1"/>
  <c r="AD22" i="23"/>
  <c r="AD74" i="23" s="1"/>
  <c r="P19" i="23"/>
  <c r="P71" i="23" s="1"/>
  <c r="P12" i="23"/>
  <c r="P64" i="23" s="1"/>
  <c r="P6" i="23"/>
  <c r="P58" i="23" s="1"/>
  <c r="P50" i="23"/>
  <c r="P102" i="23" s="1"/>
  <c r="P48" i="23"/>
  <c r="P100" i="23" s="1"/>
  <c r="P46" i="23"/>
  <c r="P98" i="23" s="1"/>
  <c r="L26" i="23"/>
  <c r="L78" i="23" s="1"/>
  <c r="L16" i="23"/>
  <c r="L68" i="23" s="1"/>
  <c r="L42" i="23"/>
  <c r="L94" i="23" s="1"/>
  <c r="L11" i="23"/>
  <c r="L63" i="23" s="1"/>
  <c r="L19" i="23"/>
  <c r="L71" i="23" s="1"/>
  <c r="L31" i="23"/>
  <c r="L83" i="23" s="1"/>
  <c r="O43" i="12"/>
  <c r="O5" i="24"/>
  <c r="O47" i="24" s="1"/>
  <c r="O22" i="24"/>
  <c r="O64" i="24" s="1"/>
  <c r="O14" i="24"/>
  <c r="O56" i="24" s="1"/>
  <c r="O19" i="24"/>
  <c r="O61" i="24" s="1"/>
  <c r="Q28" i="23"/>
  <c r="Q80" i="23" s="1"/>
  <c r="Q29" i="23"/>
  <c r="Q81" i="23" s="1"/>
  <c r="Q8" i="23"/>
  <c r="Q60" i="23" s="1"/>
  <c r="Q12" i="23"/>
  <c r="Q64" i="23" s="1"/>
  <c r="Q20" i="23"/>
  <c r="Q72" i="23" s="1"/>
  <c r="Q32" i="23"/>
  <c r="Q84" i="23" s="1"/>
  <c r="O8" i="23"/>
  <c r="O60" i="23" s="1"/>
  <c r="O15" i="23"/>
  <c r="O67" i="23" s="1"/>
  <c r="O50" i="23"/>
  <c r="O102" i="23" s="1"/>
  <c r="O38" i="23"/>
  <c r="O90" i="23" s="1"/>
  <c r="O31" i="23"/>
  <c r="O83" i="23" s="1"/>
  <c r="O51" i="23"/>
  <c r="O103" i="23" s="1"/>
  <c r="S13" i="24"/>
  <c r="S55" i="24" s="1"/>
  <c r="S17" i="24"/>
  <c r="S59" i="24" s="1"/>
  <c r="AE13" i="23"/>
  <c r="AE65" i="23" s="1"/>
  <c r="AE17" i="23"/>
  <c r="AE69" i="23" s="1"/>
  <c r="I9" i="26"/>
  <c r="I15" i="26" s="1"/>
  <c r="I11" i="26"/>
  <c r="C9" i="26"/>
  <c r="C15" i="26" s="1"/>
  <c r="C11" i="26"/>
  <c r="C7" i="26"/>
  <c r="C13" i="26" s="1"/>
  <c r="O11" i="24"/>
  <c r="O53" i="24" s="1"/>
  <c r="O32" i="24"/>
  <c r="O74" i="24" s="1"/>
  <c r="O25" i="24"/>
  <c r="O67" i="24" s="1"/>
  <c r="O12" i="24"/>
  <c r="O54" i="24" s="1"/>
  <c r="Q23" i="23"/>
  <c r="Q75" i="23" s="1"/>
  <c r="Q13" i="23"/>
  <c r="Q65" i="23" s="1"/>
  <c r="Q30" i="23"/>
  <c r="Q82" i="23" s="1"/>
  <c r="Q34" i="23"/>
  <c r="Q86" i="23" s="1"/>
  <c r="Q7" i="23"/>
  <c r="Q59" i="23" s="1"/>
  <c r="Q42" i="23"/>
  <c r="Q94" i="23" s="1"/>
  <c r="O7" i="23"/>
  <c r="O59" i="23" s="1"/>
  <c r="O12" i="23"/>
  <c r="O64" i="23" s="1"/>
  <c r="O40" i="23"/>
  <c r="O92" i="23" s="1"/>
  <c r="O44" i="23"/>
  <c r="O96" i="23" s="1"/>
  <c r="O48" i="23"/>
  <c r="O100" i="23" s="1"/>
  <c r="O41" i="23"/>
  <c r="O93" i="23" s="1"/>
  <c r="S7" i="24"/>
  <c r="S49" i="24" s="1"/>
  <c r="S29" i="24"/>
  <c r="S71" i="24" s="1"/>
  <c r="AE16" i="23"/>
  <c r="AE68" i="23" s="1"/>
  <c r="AE20" i="23"/>
  <c r="AE72" i="23" s="1"/>
  <c r="W41" i="23"/>
  <c r="W93" i="23" s="1"/>
  <c r="W12" i="11"/>
  <c r="W10" i="11"/>
  <c r="P11" i="8"/>
  <c r="P11" i="23" s="1"/>
  <c r="P63" i="23" s="1"/>
  <c r="P5" i="8"/>
  <c r="P5" i="23" s="1"/>
  <c r="P57" i="23" s="1"/>
  <c r="P42" i="8"/>
  <c r="P42" i="23" s="1"/>
  <c r="P94" i="23" s="1"/>
  <c r="AH20" i="8"/>
  <c r="AD20" i="23" s="1"/>
  <c r="AD72" i="23" s="1"/>
  <c r="W27" i="11"/>
  <c r="W33" i="11"/>
  <c r="W11" i="11"/>
  <c r="W24" i="11"/>
  <c r="W32" i="11"/>
  <c r="W30" i="11"/>
  <c r="W37" i="11"/>
  <c r="W19" i="11"/>
  <c r="W15" i="11"/>
  <c r="W28" i="11"/>
  <c r="P24" i="8"/>
  <c r="P51" i="8"/>
  <c r="P51" i="23" s="1"/>
  <c r="P103" i="23" s="1"/>
  <c r="AH19" i="8"/>
  <c r="AD19" i="23" s="1"/>
  <c r="AD71" i="23" s="1"/>
  <c r="V25" i="23"/>
  <c r="V77" i="23" s="1"/>
  <c r="T29" i="23"/>
  <c r="T81" i="23" s="1"/>
  <c r="W32" i="23"/>
  <c r="W84" i="23" s="1"/>
  <c r="W35" i="23"/>
  <c r="W87" i="23" s="1"/>
  <c r="AA47" i="23"/>
  <c r="AA99" i="23" s="1"/>
  <c r="X51" i="8"/>
  <c r="W51" i="23" s="1"/>
  <c r="W103" i="23" s="1"/>
  <c r="X25" i="8"/>
  <c r="W25" i="23" s="1"/>
  <c r="W77" i="23" s="1"/>
  <c r="X14" i="8"/>
  <c r="W14" i="23" s="1"/>
  <c r="W66" i="23" s="1"/>
  <c r="X37" i="8"/>
  <c r="W37" i="23" s="1"/>
  <c r="W89" i="23" s="1"/>
  <c r="X24" i="8"/>
  <c r="W24" i="23" s="1"/>
  <c r="W76" i="23" s="1"/>
  <c r="X26" i="8"/>
  <c r="W26" i="23" s="1"/>
  <c r="W78" i="23" s="1"/>
  <c r="X50" i="8"/>
  <c r="W50" i="23" s="1"/>
  <c r="W102" i="23" s="1"/>
  <c r="X6" i="8"/>
  <c r="W6" i="23" s="1"/>
  <c r="W58" i="23" s="1"/>
  <c r="AA22" i="23"/>
  <c r="AA74" i="23" s="1"/>
  <c r="U22" i="8"/>
  <c r="T22" i="23" s="1"/>
  <c r="T74" i="23" s="1"/>
  <c r="U50" i="8"/>
  <c r="T50" i="23" s="1"/>
  <c r="T102" i="23" s="1"/>
  <c r="AA7" i="23"/>
  <c r="AA59" i="23" s="1"/>
  <c r="AA10" i="23"/>
  <c r="AA62" i="23" s="1"/>
  <c r="AA39" i="23"/>
  <c r="AA91" i="23" s="1"/>
  <c r="U39" i="8"/>
  <c r="T39" i="23" s="1"/>
  <c r="T91" i="23" s="1"/>
  <c r="U25" i="8"/>
  <c r="T25" i="23" s="1"/>
  <c r="T77" i="23" s="1"/>
  <c r="U35" i="8"/>
  <c r="T35" i="23" s="1"/>
  <c r="T87" i="23" s="1"/>
  <c r="U7" i="8"/>
  <c r="T7" i="23" s="1"/>
  <c r="T59" i="23" s="1"/>
  <c r="AC8" i="8"/>
  <c r="AC24" i="8"/>
  <c r="AC35" i="8"/>
  <c r="AC48" i="8"/>
  <c r="X36" i="8"/>
  <c r="W36" i="23" s="1"/>
  <c r="W88" i="23" s="1"/>
  <c r="X7" i="8"/>
  <c r="W7" i="23" s="1"/>
  <c r="W59" i="23" s="1"/>
  <c r="X19" i="8"/>
  <c r="W19" i="23" s="1"/>
  <c r="W71" i="23" s="1"/>
  <c r="X28" i="8"/>
  <c r="W28" i="23" s="1"/>
  <c r="W80" i="23" s="1"/>
  <c r="X46" i="8"/>
  <c r="W46" i="23" s="1"/>
  <c r="W98" i="23" s="1"/>
  <c r="X10" i="8"/>
  <c r="W10" i="23" s="1"/>
  <c r="W62" i="23" s="1"/>
  <c r="AC19" i="8"/>
  <c r="AC45" i="8"/>
  <c r="AC26" i="8"/>
  <c r="U5" i="8"/>
  <c r="T5" i="23" s="1"/>
  <c r="T57" i="23" s="1"/>
  <c r="X47" i="8"/>
  <c r="W47" i="23" s="1"/>
  <c r="W99" i="23" s="1"/>
  <c r="X21" i="8"/>
  <c r="W21" i="23" s="1"/>
  <c r="W73" i="23" s="1"/>
  <c r="X31" i="8"/>
  <c r="W31" i="23" s="1"/>
  <c r="W83" i="23" s="1"/>
  <c r="X48" i="8"/>
  <c r="W48" i="23" s="1"/>
  <c r="W100" i="23" s="1"/>
  <c r="X9" i="8"/>
  <c r="W9" i="23" s="1"/>
  <c r="W61" i="23" s="1"/>
  <c r="X23" i="8"/>
  <c r="W23" i="23" s="1"/>
  <c r="W75" i="23" s="1"/>
  <c r="X43" i="8"/>
  <c r="W43" i="23" s="1"/>
  <c r="W95" i="23" s="1"/>
  <c r="AA46" i="23"/>
  <c r="AA98" i="23" s="1"/>
  <c r="AA38" i="23"/>
  <c r="AA90" i="23" s="1"/>
  <c r="AA41" i="23"/>
  <c r="AA93" i="23" s="1"/>
  <c r="AA33" i="23"/>
  <c r="AA85" i="23" s="1"/>
  <c r="AA15" i="23"/>
  <c r="AA67" i="23" s="1"/>
  <c r="U47" i="8"/>
  <c r="T47" i="23" s="1"/>
  <c r="T99" i="23" s="1"/>
  <c r="U40" i="8"/>
  <c r="T40" i="23" s="1"/>
  <c r="T92" i="23" s="1"/>
  <c r="U8" i="8"/>
  <c r="T8" i="23" s="1"/>
  <c r="T60" i="23" s="1"/>
  <c r="U9" i="8"/>
  <c r="T9" i="23" s="1"/>
  <c r="T61" i="23" s="1"/>
  <c r="U18" i="8"/>
  <c r="T18" i="23" s="1"/>
  <c r="T70" i="23" s="1"/>
  <c r="U24" i="8"/>
  <c r="T24" i="23" s="1"/>
  <c r="T76" i="23" s="1"/>
  <c r="W29" i="8"/>
  <c r="V29" i="23" s="1"/>
  <c r="V81" i="23" s="1"/>
  <c r="AC16" i="8"/>
  <c r="X33" i="8"/>
  <c r="W33" i="23" s="1"/>
  <c r="W85" i="23" s="1"/>
  <c r="X27" i="8"/>
  <c r="W27" i="23" s="1"/>
  <c r="W79" i="23" s="1"/>
  <c r="AA12" i="23"/>
  <c r="AA64" i="23" s="1"/>
  <c r="AA29" i="23"/>
  <c r="AA81" i="23" s="1"/>
  <c r="AA37" i="23"/>
  <c r="AA89" i="23" s="1"/>
  <c r="AA25" i="23"/>
  <c r="AA77" i="23" s="1"/>
  <c r="AA51" i="23"/>
  <c r="AA103" i="23" s="1"/>
  <c r="AA27" i="23"/>
  <c r="AA79" i="23" s="1"/>
  <c r="P14" i="25"/>
  <c r="O14" i="25"/>
  <c r="P13" i="25"/>
  <c r="O13" i="25"/>
  <c r="Q21" i="8"/>
  <c r="Q21" i="23" s="1"/>
  <c r="Q73" i="23" s="1"/>
  <c r="Q37" i="8"/>
  <c r="Q37" i="23" s="1"/>
  <c r="Q89" i="23" s="1"/>
  <c r="L5" i="8"/>
  <c r="L5" i="23" s="1"/>
  <c r="L57" i="23" s="1"/>
  <c r="L50" i="8"/>
  <c r="L50" i="23" s="1"/>
  <c r="L102" i="23" s="1"/>
  <c r="W18" i="11"/>
  <c r="W18" i="8"/>
  <c r="V18" i="23" s="1"/>
  <c r="V70" i="23" s="1"/>
  <c r="W53" i="9"/>
  <c r="U37" i="8"/>
  <c r="T37" i="23" s="1"/>
  <c r="T89" i="23" s="1"/>
  <c r="U19" i="8"/>
  <c r="T19" i="23" s="1"/>
  <c r="T71" i="23" s="1"/>
  <c r="U20" i="8"/>
  <c r="T20" i="23" s="1"/>
  <c r="T72" i="23" s="1"/>
  <c r="U42" i="8"/>
  <c r="T42" i="23" s="1"/>
  <c r="T94" i="23" s="1"/>
  <c r="Q5" i="8"/>
  <c r="Q5" i="23" s="1"/>
  <c r="Q57" i="23" s="1"/>
  <c r="Q33" i="8"/>
  <c r="Q33" i="23" s="1"/>
  <c r="Q85" i="23" s="1"/>
  <c r="L46" i="8"/>
  <c r="L46" i="23" s="1"/>
  <c r="L98" i="23" s="1"/>
  <c r="W38" i="8"/>
  <c r="V38" i="23" s="1"/>
  <c r="V90" i="23" s="1"/>
  <c r="W51" i="8"/>
  <c r="V51" i="23" s="1"/>
  <c r="V103" i="23" s="1"/>
  <c r="W5" i="8"/>
  <c r="V5" i="23" s="1"/>
  <c r="V57" i="23" s="1"/>
  <c r="P44" i="8"/>
  <c r="P44" i="23" s="1"/>
  <c r="P96" i="23" s="1"/>
  <c r="Q25" i="8"/>
  <c r="Q25" i="23" s="1"/>
  <c r="Q77" i="23" s="1"/>
  <c r="L18" i="8"/>
  <c r="L18" i="23" s="1"/>
  <c r="L70" i="23" s="1"/>
  <c r="AI5" i="8"/>
  <c r="AE5" i="23" s="1"/>
  <c r="AE57" i="23" s="1"/>
  <c r="W34" i="8"/>
  <c r="V34" i="23" s="1"/>
  <c r="V86" i="23" s="1"/>
  <c r="U45" i="8"/>
  <c r="T45" i="23" s="1"/>
  <c r="T97" i="23" s="1"/>
  <c r="U34" i="8"/>
  <c r="T34" i="23" s="1"/>
  <c r="T86" i="23" s="1"/>
  <c r="U46" i="8"/>
  <c r="T46" i="23" s="1"/>
  <c r="T98" i="23" s="1"/>
  <c r="U15" i="8"/>
  <c r="T15" i="23" s="1"/>
  <c r="T67" i="23" s="1"/>
  <c r="U21" i="8"/>
  <c r="T21" i="23" s="1"/>
  <c r="T73" i="23" s="1"/>
  <c r="Q17" i="8"/>
  <c r="Q17" i="23" s="1"/>
  <c r="Q69" i="23" s="1"/>
  <c r="L21" i="8"/>
  <c r="L21" i="23" s="1"/>
  <c r="L73" i="23" s="1"/>
  <c r="L38" i="8"/>
  <c r="L38" i="23" s="1"/>
  <c r="L90" i="23" s="1"/>
  <c r="W8" i="11"/>
  <c r="S58" i="7"/>
  <c r="R58" i="7"/>
  <c r="D46" i="5"/>
  <c r="Q44" i="13"/>
  <c r="Q44" i="12"/>
  <c r="Q44" i="10"/>
  <c r="Q44" i="11"/>
  <c r="M20" i="9"/>
  <c r="M11" i="9"/>
  <c r="W46" i="8"/>
  <c r="V46" i="23" s="1"/>
  <c r="V98" i="23" s="1"/>
  <c r="W41" i="8"/>
  <c r="V41" i="23" s="1"/>
  <c r="V93" i="23" s="1"/>
  <c r="W47" i="8"/>
  <c r="V47" i="23" s="1"/>
  <c r="V99" i="23" s="1"/>
  <c r="W13" i="8"/>
  <c r="V13" i="23" s="1"/>
  <c r="V65" i="23" s="1"/>
  <c r="W19" i="8"/>
  <c r="V19" i="23" s="1"/>
  <c r="V71" i="23" s="1"/>
  <c r="W20" i="8"/>
  <c r="V20" i="23" s="1"/>
  <c r="V72" i="23" s="1"/>
  <c r="M8" i="9"/>
  <c r="P31" i="12"/>
  <c r="P31" i="13"/>
  <c r="P21" i="12"/>
  <c r="P21" i="13"/>
  <c r="P22" i="12"/>
  <c r="P22" i="13"/>
  <c r="P24" i="12"/>
  <c r="P24" i="13"/>
  <c r="P34" i="12"/>
  <c r="P34" i="13"/>
  <c r="P36" i="12"/>
  <c r="P36" i="13"/>
  <c r="P30" i="12"/>
  <c r="P30" i="13"/>
  <c r="P5" i="12"/>
  <c r="P5" i="13"/>
  <c r="P43" i="11"/>
  <c r="P9" i="12"/>
  <c r="P9" i="13"/>
  <c r="L47" i="10"/>
  <c r="L47" i="12" s="1"/>
  <c r="V11" i="9"/>
  <c r="V27" i="9"/>
  <c r="V40" i="9"/>
  <c r="V13" i="9"/>
  <c r="V29" i="9"/>
  <c r="V47" i="9"/>
  <c r="V15" i="9"/>
  <c r="V30" i="9"/>
  <c r="V49" i="9"/>
  <c r="V17" i="9"/>
  <c r="V38" i="9"/>
  <c r="V33" i="9"/>
  <c r="AC9" i="8"/>
  <c r="U33" i="8"/>
  <c r="T33" i="23" s="1"/>
  <c r="T85" i="23" s="1"/>
  <c r="M21" i="9"/>
  <c r="W17" i="8"/>
  <c r="V17" i="23" s="1"/>
  <c r="V69" i="23" s="1"/>
  <c r="M44" i="9"/>
  <c r="V31" i="12"/>
  <c r="V31" i="13"/>
  <c r="V29" i="12"/>
  <c r="V29" i="13"/>
  <c r="V13" i="12"/>
  <c r="V13" i="13"/>
  <c r="V39" i="12"/>
  <c r="V39" i="13"/>
  <c r="V21" i="12"/>
  <c r="V21" i="13"/>
  <c r="V38" i="12"/>
  <c r="V38" i="13"/>
  <c r="V5" i="12"/>
  <c r="V43" i="11"/>
  <c r="V5" i="13"/>
  <c r="V9" i="12"/>
  <c r="T9" i="24" s="1"/>
  <c r="T51" i="24" s="1"/>
  <c r="V9" i="13"/>
  <c r="V16" i="12"/>
  <c r="V16" i="13"/>
  <c r="M41" i="9"/>
  <c r="AC20" i="8"/>
  <c r="AD53" i="7"/>
  <c r="AC6" i="8"/>
  <c r="AC34" i="8"/>
  <c r="AC42" i="8"/>
  <c r="M31" i="9"/>
  <c r="P27" i="8"/>
  <c r="P20" i="8"/>
  <c r="P20" i="23" s="1"/>
  <c r="P72" i="23" s="1"/>
  <c r="U43" i="8"/>
  <c r="T43" i="23" s="1"/>
  <c r="T95" i="23" s="1"/>
  <c r="U17" i="8"/>
  <c r="T17" i="23" s="1"/>
  <c r="T69" i="23" s="1"/>
  <c r="U10" i="8"/>
  <c r="T10" i="23" s="1"/>
  <c r="T62" i="23" s="1"/>
  <c r="X45" i="8"/>
  <c r="W45" i="23" s="1"/>
  <c r="W97" i="23" s="1"/>
  <c r="X11" i="8"/>
  <c r="W11" i="23" s="1"/>
  <c r="W63" i="23" s="1"/>
  <c r="X20" i="8"/>
  <c r="W20" i="23" s="1"/>
  <c r="W72" i="23" s="1"/>
  <c r="X5" i="8"/>
  <c r="W5" i="23" s="1"/>
  <c r="W57" i="23" s="1"/>
  <c r="M30" i="9"/>
  <c r="Q53" i="9"/>
  <c r="Q10" i="8"/>
  <c r="Q10" i="23" s="1"/>
  <c r="Q62" i="23" s="1"/>
  <c r="Q22" i="8"/>
  <c r="Q22" i="23" s="1"/>
  <c r="Q74" i="23" s="1"/>
  <c r="Q35" i="8"/>
  <c r="Q35" i="23" s="1"/>
  <c r="Q87" i="23" s="1"/>
  <c r="Q11" i="8"/>
  <c r="Q11" i="23" s="1"/>
  <c r="Q63" i="23" s="1"/>
  <c r="Q19" i="8"/>
  <c r="Q19" i="23" s="1"/>
  <c r="Q71" i="23" s="1"/>
  <c r="Q47" i="8"/>
  <c r="Q47" i="23" s="1"/>
  <c r="Q99" i="23" s="1"/>
  <c r="W42" i="8"/>
  <c r="V42" i="23" s="1"/>
  <c r="V94" i="23" s="1"/>
  <c r="W26" i="8"/>
  <c r="V26" i="23" s="1"/>
  <c r="V78" i="23" s="1"/>
  <c r="W35" i="8"/>
  <c r="V35" i="23" s="1"/>
  <c r="V87" i="23" s="1"/>
  <c r="W45" i="8"/>
  <c r="V45" i="23" s="1"/>
  <c r="V97" i="23" s="1"/>
  <c r="W11" i="8"/>
  <c r="V11" i="23" s="1"/>
  <c r="V63" i="23" s="1"/>
  <c r="W12" i="8"/>
  <c r="V12" i="23" s="1"/>
  <c r="V64" i="23" s="1"/>
  <c r="O14" i="8"/>
  <c r="O14" i="23" s="1"/>
  <c r="O66" i="23" s="1"/>
  <c r="O53" i="9"/>
  <c r="U43" i="13"/>
  <c r="AC11" i="8"/>
  <c r="AC40" i="8"/>
  <c r="AC28" i="8"/>
  <c r="AC21" i="8"/>
  <c r="AH18" i="8"/>
  <c r="AD18" i="23" s="1"/>
  <c r="AD70" i="23" s="1"/>
  <c r="AH25" i="8"/>
  <c r="AD25" i="23" s="1"/>
  <c r="AD77" i="23" s="1"/>
  <c r="U27" i="8"/>
  <c r="T27" i="23" s="1"/>
  <c r="T79" i="23" s="1"/>
  <c r="U11" i="8"/>
  <c r="T11" i="23" s="1"/>
  <c r="T63" i="23" s="1"/>
  <c r="U12" i="8"/>
  <c r="T12" i="23" s="1"/>
  <c r="T64" i="23" s="1"/>
  <c r="U6" i="8"/>
  <c r="T6" i="23" s="1"/>
  <c r="T58" i="23" s="1"/>
  <c r="M32" i="9"/>
  <c r="X39" i="8"/>
  <c r="W39" i="23" s="1"/>
  <c r="W91" i="23" s="1"/>
  <c r="X13" i="8"/>
  <c r="W13" i="23" s="1"/>
  <c r="W65" i="23" s="1"/>
  <c r="X22" i="8"/>
  <c r="W22" i="23" s="1"/>
  <c r="W74" i="23" s="1"/>
  <c r="L10" i="8"/>
  <c r="L10" i="23" s="1"/>
  <c r="L62" i="23" s="1"/>
  <c r="L22" i="8"/>
  <c r="L22" i="23" s="1"/>
  <c r="L74" i="23" s="1"/>
  <c r="L36" i="8"/>
  <c r="L36" i="23" s="1"/>
  <c r="L88" i="23" s="1"/>
  <c r="L40" i="8"/>
  <c r="L40" i="23" s="1"/>
  <c r="L92" i="23" s="1"/>
  <c r="L44" i="8"/>
  <c r="L44" i="23" s="1"/>
  <c r="L96" i="23" s="1"/>
  <c r="Q26" i="8"/>
  <c r="Q26" i="23" s="1"/>
  <c r="Q78" i="23" s="1"/>
  <c r="Q16" i="8"/>
  <c r="Q16" i="23" s="1"/>
  <c r="Q68" i="23" s="1"/>
  <c r="Q41" i="8"/>
  <c r="Q41" i="23" s="1"/>
  <c r="Q93" i="23" s="1"/>
  <c r="Q45" i="8"/>
  <c r="Q45" i="23" s="1"/>
  <c r="Q97" i="23" s="1"/>
  <c r="Q49" i="8"/>
  <c r="Q49" i="23" s="1"/>
  <c r="Q101" i="23" s="1"/>
  <c r="Q18" i="8"/>
  <c r="Q18" i="23" s="1"/>
  <c r="Q70" i="23" s="1"/>
  <c r="AI18" i="8"/>
  <c r="AE18" i="23" s="1"/>
  <c r="AE70" i="23" s="1"/>
  <c r="N24" i="12"/>
  <c r="N24" i="13"/>
  <c r="N33" i="12"/>
  <c r="N33" i="13"/>
  <c r="N39" i="12"/>
  <c r="N39" i="13"/>
  <c r="N29" i="12"/>
  <c r="N29" i="13"/>
  <c r="N16" i="12"/>
  <c r="N16" i="13"/>
  <c r="N13" i="12"/>
  <c r="N13" i="13"/>
  <c r="N11" i="12"/>
  <c r="N11" i="13"/>
  <c r="N37" i="12"/>
  <c r="N37" i="13"/>
  <c r="N6" i="12"/>
  <c r="N6" i="13"/>
  <c r="N10" i="12"/>
  <c r="N10" i="13"/>
  <c r="AA17" i="11"/>
  <c r="Z17" i="12"/>
  <c r="AA17" i="12" s="1"/>
  <c r="Z17" i="13"/>
  <c r="AA17" i="13" s="1"/>
  <c r="AA14" i="11"/>
  <c r="Z14" i="12"/>
  <c r="AA14" i="12" s="1"/>
  <c r="Z14" i="13"/>
  <c r="AA14" i="13" s="1"/>
  <c r="AA12" i="11"/>
  <c r="Z12" i="12"/>
  <c r="AA12" i="12" s="1"/>
  <c r="Z12" i="13"/>
  <c r="AA12" i="13" s="1"/>
  <c r="AA25" i="11"/>
  <c r="Z25" i="12"/>
  <c r="AA25" i="12" s="1"/>
  <c r="Z25" i="13"/>
  <c r="AA25" i="13" s="1"/>
  <c r="AA23" i="11"/>
  <c r="Z23" i="12"/>
  <c r="AA23" i="12" s="1"/>
  <c r="Z23" i="13"/>
  <c r="AA23" i="13" s="1"/>
  <c r="AA24" i="11"/>
  <c r="Z24" i="12"/>
  <c r="AA24" i="12" s="1"/>
  <c r="Z24" i="13"/>
  <c r="AA24" i="13" s="1"/>
  <c r="AA22" i="11"/>
  <c r="Z22" i="12"/>
  <c r="AA22" i="12" s="1"/>
  <c r="Z22" i="13"/>
  <c r="AA22" i="13" s="1"/>
  <c r="AA5" i="11"/>
  <c r="Z5" i="12"/>
  <c r="Z43" i="11"/>
  <c r="Z5" i="13"/>
  <c r="AA9" i="11"/>
  <c r="Z9" i="12"/>
  <c r="AA9" i="12" s="1"/>
  <c r="Z9" i="13"/>
  <c r="AA9" i="13" s="1"/>
  <c r="T40" i="12"/>
  <c r="T40" i="13"/>
  <c r="T13" i="12"/>
  <c r="W13" i="12" s="1"/>
  <c r="T13" i="13"/>
  <c r="W13" i="13" s="1"/>
  <c r="T31" i="12"/>
  <c r="W31" i="12" s="1"/>
  <c r="T31" i="13"/>
  <c r="T21" i="12"/>
  <c r="W21" i="12" s="1"/>
  <c r="T21" i="13"/>
  <c r="W21" i="13" s="1"/>
  <c r="T22" i="12"/>
  <c r="T22" i="13"/>
  <c r="T39" i="12"/>
  <c r="T39" i="13"/>
  <c r="W39" i="13" s="1"/>
  <c r="T29" i="12"/>
  <c r="W29" i="12" s="1"/>
  <c r="T29" i="13"/>
  <c r="W29" i="13" s="1"/>
  <c r="T20" i="12"/>
  <c r="T20" i="13"/>
  <c r="T6" i="12"/>
  <c r="T6" i="13"/>
  <c r="T10" i="12"/>
  <c r="T10" i="13"/>
  <c r="M9" i="9"/>
  <c r="M15" i="9"/>
  <c r="R28" i="12"/>
  <c r="S28" i="12" s="1"/>
  <c r="S28" i="11"/>
  <c r="R28" i="13"/>
  <c r="S28" i="13" s="1"/>
  <c r="R38" i="12"/>
  <c r="S38" i="12" s="1"/>
  <c r="S38" i="11"/>
  <c r="R38" i="13"/>
  <c r="S38" i="13" s="1"/>
  <c r="R40" i="12"/>
  <c r="S40" i="12" s="1"/>
  <c r="S40" i="11"/>
  <c r="R40" i="13"/>
  <c r="S40" i="13" s="1"/>
  <c r="R41" i="12"/>
  <c r="S41" i="12" s="1"/>
  <c r="S41" i="11"/>
  <c r="R41" i="13"/>
  <c r="S41" i="13" s="1"/>
  <c r="R31" i="12"/>
  <c r="S31" i="12" s="1"/>
  <c r="S31" i="11"/>
  <c r="R31" i="13"/>
  <c r="S31" i="13" s="1"/>
  <c r="R32" i="12"/>
  <c r="S32" i="12" s="1"/>
  <c r="S32" i="11"/>
  <c r="R32" i="13"/>
  <c r="S32" i="13" s="1"/>
  <c r="R6" i="12"/>
  <c r="S6" i="12" s="1"/>
  <c r="S6" i="11"/>
  <c r="R6" i="13"/>
  <c r="S6" i="13" s="1"/>
  <c r="R10" i="12"/>
  <c r="S10" i="12" s="1"/>
  <c r="S10" i="11"/>
  <c r="R10" i="13"/>
  <c r="S10" i="13" s="1"/>
  <c r="R26" i="12"/>
  <c r="S26" i="12" s="1"/>
  <c r="S26" i="11"/>
  <c r="R26" i="13"/>
  <c r="S26" i="13" s="1"/>
  <c r="M26" i="9"/>
  <c r="M18" i="9"/>
  <c r="M29" i="9"/>
  <c r="M46" i="9"/>
  <c r="O43" i="13"/>
  <c r="P14" i="12"/>
  <c r="P14" i="13"/>
  <c r="P28" i="12"/>
  <c r="P28" i="13"/>
  <c r="P33" i="12"/>
  <c r="P33" i="13"/>
  <c r="P11" i="12"/>
  <c r="P11" i="13"/>
  <c r="P18" i="12"/>
  <c r="P18" i="13"/>
  <c r="P20" i="12"/>
  <c r="P20" i="13"/>
  <c r="P13" i="12"/>
  <c r="P13" i="13"/>
  <c r="P6" i="12"/>
  <c r="P6" i="13"/>
  <c r="P10" i="12"/>
  <c r="P10" i="13"/>
  <c r="V14" i="9"/>
  <c r="V32" i="9"/>
  <c r="V45" i="9"/>
  <c r="V16" i="9"/>
  <c r="V31" i="9"/>
  <c r="V50" i="9"/>
  <c r="V18" i="9"/>
  <c r="V36" i="9"/>
  <c r="V53" i="7"/>
  <c r="V58" i="7" s="1"/>
  <c r="V11" i="8" s="1"/>
  <c r="U11" i="23" s="1"/>
  <c r="U63" i="23" s="1"/>
  <c r="V5" i="9"/>
  <c r="V20" i="9"/>
  <c r="V43" i="9"/>
  <c r="V35" i="9"/>
  <c r="M50" i="9"/>
  <c r="U53" i="9"/>
  <c r="M27" i="9"/>
  <c r="W36" i="8"/>
  <c r="V36" i="23" s="1"/>
  <c r="V88" i="23" s="1"/>
  <c r="W15" i="8"/>
  <c r="V15" i="23" s="1"/>
  <c r="V67" i="23" s="1"/>
  <c r="W24" i="8"/>
  <c r="V24" i="23" s="1"/>
  <c r="V76" i="23" s="1"/>
  <c r="W32" i="8"/>
  <c r="V32" i="23" s="1"/>
  <c r="V84" i="23" s="1"/>
  <c r="M24" i="9"/>
  <c r="M25" i="9"/>
  <c r="V14" i="12"/>
  <c r="V14" i="13"/>
  <c r="V12" i="12"/>
  <c r="V12" i="13"/>
  <c r="V41" i="12"/>
  <c r="V41" i="13"/>
  <c r="V23" i="12"/>
  <c r="V23" i="13"/>
  <c r="V36" i="12"/>
  <c r="V36" i="13"/>
  <c r="V22" i="12"/>
  <c r="V22" i="13"/>
  <c r="V6" i="12"/>
  <c r="V6" i="13"/>
  <c r="V10" i="12"/>
  <c r="V10" i="13"/>
  <c r="V20" i="12"/>
  <c r="W20" i="12" s="1"/>
  <c r="V20" i="13"/>
  <c r="AC14" i="8"/>
  <c r="AC5" i="8"/>
  <c r="AA5" i="23" s="1"/>
  <c r="AA57" i="23" s="1"/>
  <c r="AC43" i="8"/>
  <c r="P15" i="8"/>
  <c r="P15" i="23" s="1"/>
  <c r="P67" i="23" s="1"/>
  <c r="P7" i="8"/>
  <c r="P7" i="23" s="1"/>
  <c r="P59" i="23" s="1"/>
  <c r="P43" i="8"/>
  <c r="P43" i="23" s="1"/>
  <c r="P95" i="23" s="1"/>
  <c r="P41" i="8"/>
  <c r="P41" i="23" s="1"/>
  <c r="P93" i="23" s="1"/>
  <c r="U51" i="8"/>
  <c r="T51" i="23" s="1"/>
  <c r="T103" i="23" s="1"/>
  <c r="U32" i="8"/>
  <c r="T32" i="23" s="1"/>
  <c r="T84" i="23" s="1"/>
  <c r="U16" i="8"/>
  <c r="T16" i="23" s="1"/>
  <c r="T68" i="23" s="1"/>
  <c r="X44" i="8"/>
  <c r="W44" i="23" s="1"/>
  <c r="W96" i="23" s="1"/>
  <c r="X16" i="8"/>
  <c r="W16" i="23" s="1"/>
  <c r="W68" i="23" s="1"/>
  <c r="X18" i="8"/>
  <c r="W18" i="23" s="1"/>
  <c r="W70" i="23" s="1"/>
  <c r="O5" i="8"/>
  <c r="O5" i="23" s="1"/>
  <c r="O57" i="23" s="1"/>
  <c r="O45" i="8"/>
  <c r="O45" i="23" s="1"/>
  <c r="O97" i="23" s="1"/>
  <c r="O49" i="8"/>
  <c r="O49" i="23" s="1"/>
  <c r="O101" i="23" s="1"/>
  <c r="O26" i="8"/>
  <c r="O26" i="23" s="1"/>
  <c r="O78" i="23" s="1"/>
  <c r="O46" i="8"/>
  <c r="O46" i="23" s="1"/>
  <c r="O98" i="23" s="1"/>
  <c r="U43" i="12"/>
  <c r="W36" i="11"/>
  <c r="AC13" i="8"/>
  <c r="AC18" i="8"/>
  <c r="AC50" i="8"/>
  <c r="AH53" i="9"/>
  <c r="AH43" i="8"/>
  <c r="AD43" i="23" s="1"/>
  <c r="AD95" i="23" s="1"/>
  <c r="AH36" i="8"/>
  <c r="AD36" i="23" s="1"/>
  <c r="AD88" i="23" s="1"/>
  <c r="AH40" i="8"/>
  <c r="AD40" i="23" s="1"/>
  <c r="AD92" i="23" s="1"/>
  <c r="AH44" i="8"/>
  <c r="AD44" i="23" s="1"/>
  <c r="AD96" i="23" s="1"/>
  <c r="P8" i="8"/>
  <c r="P8" i="23" s="1"/>
  <c r="P60" i="23" s="1"/>
  <c r="P26" i="8"/>
  <c r="P21" i="8"/>
  <c r="P33" i="8"/>
  <c r="P33" i="23" s="1"/>
  <c r="P85" i="23" s="1"/>
  <c r="P31" i="8"/>
  <c r="P31" i="23" s="1"/>
  <c r="P83" i="23" s="1"/>
  <c r="P40" i="8"/>
  <c r="P40" i="23" s="1"/>
  <c r="P92" i="23" s="1"/>
  <c r="U48" i="8"/>
  <c r="T48" i="23" s="1"/>
  <c r="T100" i="23" s="1"/>
  <c r="U23" i="8"/>
  <c r="T23" i="23" s="1"/>
  <c r="T75" i="23" s="1"/>
  <c r="X40" i="8"/>
  <c r="W40" i="23" s="1"/>
  <c r="W92" i="23" s="1"/>
  <c r="X49" i="8"/>
  <c r="W49" i="23" s="1"/>
  <c r="W101" i="23" s="1"/>
  <c r="L53" i="9"/>
  <c r="M14" i="9"/>
  <c r="M43" i="9"/>
  <c r="W40" i="8"/>
  <c r="V40" i="23" s="1"/>
  <c r="V92" i="23" s="1"/>
  <c r="W23" i="8"/>
  <c r="V23" i="23" s="1"/>
  <c r="V75" i="23" s="1"/>
  <c r="W33" i="8"/>
  <c r="V33" i="23" s="1"/>
  <c r="V85" i="23" s="1"/>
  <c r="W37" i="8"/>
  <c r="V37" i="23" s="1"/>
  <c r="V89" i="23" s="1"/>
  <c r="W8" i="8"/>
  <c r="V8" i="23" s="1"/>
  <c r="V60" i="23" s="1"/>
  <c r="W9" i="8"/>
  <c r="V9" i="23" s="1"/>
  <c r="V61" i="23" s="1"/>
  <c r="O11" i="8"/>
  <c r="O11" i="23" s="1"/>
  <c r="O63" i="23" s="1"/>
  <c r="O18" i="8"/>
  <c r="O18" i="23" s="1"/>
  <c r="O70" i="23" s="1"/>
  <c r="O34" i="8"/>
  <c r="O34" i="23" s="1"/>
  <c r="O86" i="23" s="1"/>
  <c r="O21" i="8"/>
  <c r="O21" i="23" s="1"/>
  <c r="O73" i="23" s="1"/>
  <c r="O42" i="8"/>
  <c r="O42" i="23" s="1"/>
  <c r="O94" i="23" s="1"/>
  <c r="O35" i="8"/>
  <c r="O35" i="23" s="1"/>
  <c r="O87" i="23" s="1"/>
  <c r="AI40" i="8"/>
  <c r="AE40" i="23" s="1"/>
  <c r="AE92" i="23" s="1"/>
  <c r="AI30" i="8"/>
  <c r="AE30" i="23" s="1"/>
  <c r="AE82" i="23" s="1"/>
  <c r="AI47" i="8"/>
  <c r="AE47" i="23" s="1"/>
  <c r="AE99" i="23" s="1"/>
  <c r="AI43" i="8"/>
  <c r="AE43" i="23" s="1"/>
  <c r="AE95" i="23" s="1"/>
  <c r="AI49" i="8"/>
  <c r="AE49" i="23" s="1"/>
  <c r="AE101" i="23" s="1"/>
  <c r="AI39" i="8"/>
  <c r="AE39" i="23" s="1"/>
  <c r="AE91" i="23" s="1"/>
  <c r="AI45" i="8"/>
  <c r="AE45" i="23" s="1"/>
  <c r="AE97" i="23" s="1"/>
  <c r="AI51" i="8"/>
  <c r="AE51" i="23" s="1"/>
  <c r="AE103" i="23" s="1"/>
  <c r="AI41" i="8"/>
  <c r="AE41" i="23" s="1"/>
  <c r="AE93" i="23" s="1"/>
  <c r="AI31" i="8"/>
  <c r="AE31" i="23" s="1"/>
  <c r="AE83" i="23" s="1"/>
  <c r="AI37" i="8"/>
  <c r="AE37" i="23" s="1"/>
  <c r="AE89" i="23" s="1"/>
  <c r="AI27" i="8"/>
  <c r="AE27" i="23" s="1"/>
  <c r="AE79" i="23" s="1"/>
  <c r="AI33" i="8"/>
  <c r="AE33" i="23" s="1"/>
  <c r="AE85" i="23" s="1"/>
  <c r="AI22" i="8"/>
  <c r="AE22" i="23" s="1"/>
  <c r="AE74" i="23" s="1"/>
  <c r="AI29" i="8"/>
  <c r="AE29" i="23" s="1"/>
  <c r="AE81" i="23" s="1"/>
  <c r="AI35" i="8"/>
  <c r="AE35" i="23" s="1"/>
  <c r="AE87" i="23" s="1"/>
  <c r="AI24" i="8"/>
  <c r="AE24" i="23" s="1"/>
  <c r="AE76" i="23" s="1"/>
  <c r="AI42" i="8"/>
  <c r="AE42" i="23" s="1"/>
  <c r="AE94" i="23" s="1"/>
  <c r="AI38" i="8"/>
  <c r="AE38" i="23" s="1"/>
  <c r="AE90" i="23" s="1"/>
  <c r="AI32" i="8"/>
  <c r="AE32" i="23" s="1"/>
  <c r="AE84" i="23" s="1"/>
  <c r="AI50" i="8"/>
  <c r="AE50" i="23" s="1"/>
  <c r="AE102" i="23" s="1"/>
  <c r="AI28" i="8"/>
  <c r="AE28" i="23" s="1"/>
  <c r="AE80" i="23" s="1"/>
  <c r="AI23" i="8"/>
  <c r="AE23" i="23" s="1"/>
  <c r="AE75" i="23" s="1"/>
  <c r="AI46" i="8"/>
  <c r="AE46" i="23" s="1"/>
  <c r="AE98" i="23" s="1"/>
  <c r="AI36" i="8"/>
  <c r="AE36" i="23" s="1"/>
  <c r="AE88" i="23" s="1"/>
  <c r="AI26" i="8"/>
  <c r="AE26" i="23" s="1"/>
  <c r="AE78" i="23" s="1"/>
  <c r="AI48" i="8"/>
  <c r="AE48" i="23" s="1"/>
  <c r="AE100" i="23" s="1"/>
  <c r="AI21" i="8"/>
  <c r="AE21" i="23" s="1"/>
  <c r="AE73" i="23" s="1"/>
  <c r="AI44" i="8"/>
  <c r="AE44" i="23" s="1"/>
  <c r="AE96" i="23" s="1"/>
  <c r="AI34" i="8"/>
  <c r="AE34" i="23" s="1"/>
  <c r="AE86" i="23" s="1"/>
  <c r="AI6" i="8"/>
  <c r="AE6" i="23" s="1"/>
  <c r="AE58" i="23" s="1"/>
  <c r="N27" i="12"/>
  <c r="N27" i="13"/>
  <c r="N17" i="12"/>
  <c r="N17" i="13"/>
  <c r="N23" i="12"/>
  <c r="N23" i="13"/>
  <c r="N12" i="12"/>
  <c r="N12" i="13"/>
  <c r="N35" i="12"/>
  <c r="N35" i="13"/>
  <c r="N41" i="12"/>
  <c r="N41" i="13"/>
  <c r="N31" i="12"/>
  <c r="N31" i="13"/>
  <c r="N21" i="12"/>
  <c r="N21" i="13"/>
  <c r="N7" i="12"/>
  <c r="N7" i="13"/>
  <c r="AA36" i="11"/>
  <c r="Z36" i="12"/>
  <c r="AA36" i="12" s="1"/>
  <c r="Z36" i="13"/>
  <c r="AA36" i="13" s="1"/>
  <c r="AA33" i="11"/>
  <c r="Z33" i="12"/>
  <c r="AA33" i="12" s="1"/>
  <c r="Z33" i="13"/>
  <c r="AA33" i="13" s="1"/>
  <c r="AA32" i="11"/>
  <c r="Z32" i="12"/>
  <c r="AA32" i="12" s="1"/>
  <c r="Z32" i="13"/>
  <c r="AA32" i="13" s="1"/>
  <c r="AA28" i="11"/>
  <c r="Z28" i="12"/>
  <c r="AA28" i="12" s="1"/>
  <c r="Z28" i="13"/>
  <c r="AA28" i="13" s="1"/>
  <c r="AA41" i="11"/>
  <c r="Z41" i="12"/>
  <c r="AA41" i="12" s="1"/>
  <c r="Z41" i="13"/>
  <c r="AA41" i="13" s="1"/>
  <c r="AA35" i="11"/>
  <c r="Z35" i="12"/>
  <c r="AA35" i="12" s="1"/>
  <c r="Z35" i="13"/>
  <c r="AA35" i="13" s="1"/>
  <c r="AA26" i="11"/>
  <c r="Z26" i="12"/>
  <c r="AA26" i="12" s="1"/>
  <c r="Z26" i="13"/>
  <c r="AA26" i="13" s="1"/>
  <c r="AA6" i="11"/>
  <c r="Z6" i="12"/>
  <c r="AA6" i="12" s="1"/>
  <c r="Z6" i="13"/>
  <c r="AA6" i="13" s="1"/>
  <c r="AA10" i="11"/>
  <c r="Z10" i="12"/>
  <c r="AA10" i="12" s="1"/>
  <c r="Z10" i="13"/>
  <c r="AA10" i="13" s="1"/>
  <c r="T35" i="12"/>
  <c r="T35" i="13"/>
  <c r="T41" i="12"/>
  <c r="W41" i="12" s="1"/>
  <c r="T41" i="13"/>
  <c r="T14" i="12"/>
  <c r="W14" i="12" s="1"/>
  <c r="T14" i="13"/>
  <c r="W14" i="13" s="1"/>
  <c r="T32" i="12"/>
  <c r="T32" i="13"/>
  <c r="T33" i="12"/>
  <c r="T33" i="13"/>
  <c r="T23" i="12"/>
  <c r="T23" i="13"/>
  <c r="W23" i="13" s="1"/>
  <c r="T12" i="12"/>
  <c r="T12" i="13"/>
  <c r="W12" i="13" s="1"/>
  <c r="T24" i="12"/>
  <c r="T24" i="13"/>
  <c r="T7" i="12"/>
  <c r="T7" i="13"/>
  <c r="M12" i="9"/>
  <c r="M16" i="9"/>
  <c r="R34" i="12"/>
  <c r="S34" i="12" s="1"/>
  <c r="S34" i="11"/>
  <c r="R34" i="13"/>
  <c r="S34" i="13" s="1"/>
  <c r="R11" i="12"/>
  <c r="S11" i="12" s="1"/>
  <c r="S11" i="11"/>
  <c r="R11" i="13"/>
  <c r="S11" i="13" s="1"/>
  <c r="R30" i="12"/>
  <c r="S30" i="12" s="1"/>
  <c r="S30" i="11"/>
  <c r="R30" i="13"/>
  <c r="S30" i="13" s="1"/>
  <c r="R24" i="12"/>
  <c r="S24" i="12" s="1"/>
  <c r="S24" i="11"/>
  <c r="R24" i="13"/>
  <c r="S24" i="13" s="1"/>
  <c r="R25" i="12"/>
  <c r="S25" i="12" s="1"/>
  <c r="S25" i="11"/>
  <c r="R25" i="13"/>
  <c r="S25" i="13" s="1"/>
  <c r="R14" i="12"/>
  <c r="S14" i="12" s="1"/>
  <c r="S14" i="11"/>
  <c r="R14" i="13"/>
  <c r="S14" i="13" s="1"/>
  <c r="R16" i="12"/>
  <c r="S16" i="12" s="1"/>
  <c r="S16" i="11"/>
  <c r="R16" i="13"/>
  <c r="S16" i="13" s="1"/>
  <c r="R7" i="12"/>
  <c r="S7" i="12" s="1"/>
  <c r="S7" i="11"/>
  <c r="R7" i="13"/>
  <c r="S7" i="13" s="1"/>
  <c r="R13" i="12"/>
  <c r="S13" i="12" s="1"/>
  <c r="S13" i="11"/>
  <c r="R13" i="13"/>
  <c r="S13" i="13" s="1"/>
  <c r="R15" i="12"/>
  <c r="S15" i="12" s="1"/>
  <c r="S15" i="11"/>
  <c r="R15" i="13"/>
  <c r="S15" i="13" s="1"/>
  <c r="R53" i="9"/>
  <c r="M35" i="9"/>
  <c r="Y19" i="7"/>
  <c r="AB19" i="7" s="1"/>
  <c r="Y14" i="7"/>
  <c r="Y11" i="7"/>
  <c r="AB11" i="7" s="1"/>
  <c r="Y8" i="7"/>
  <c r="Y25" i="7"/>
  <c r="Y20" i="7"/>
  <c r="Y17" i="7"/>
  <c r="Y12" i="7"/>
  <c r="Y9" i="7"/>
  <c r="Y5" i="7"/>
  <c r="Y18" i="7"/>
  <c r="AB18" i="7" s="1"/>
  <c r="Y15" i="7"/>
  <c r="Y10" i="7"/>
  <c r="Y6" i="7"/>
  <c r="Y16" i="7"/>
  <c r="AB16" i="7" s="1"/>
  <c r="Y13" i="7"/>
  <c r="Y7" i="7"/>
  <c r="Y34" i="7"/>
  <c r="AB34" i="7" s="1"/>
  <c r="Y50" i="7"/>
  <c r="Y22" i="7"/>
  <c r="Y39" i="7"/>
  <c r="Y28" i="7"/>
  <c r="Y44" i="7"/>
  <c r="Y33" i="7"/>
  <c r="Y49" i="7"/>
  <c r="Y21" i="7"/>
  <c r="Y38" i="7"/>
  <c r="Y27" i="7"/>
  <c r="Y43" i="7"/>
  <c r="Y32" i="7"/>
  <c r="Y48" i="7"/>
  <c r="AB48" i="7" s="1"/>
  <c r="Y37" i="7"/>
  <c r="Y26" i="7"/>
  <c r="Y42" i="7"/>
  <c r="Y31" i="7"/>
  <c r="AB31" i="7" s="1"/>
  <c r="Y47" i="7"/>
  <c r="Y36" i="7"/>
  <c r="Y24" i="7"/>
  <c r="Y41" i="7"/>
  <c r="AB41" i="7" s="1"/>
  <c r="Y30" i="7"/>
  <c r="Y46" i="7"/>
  <c r="Y35" i="7"/>
  <c r="Y51" i="7"/>
  <c r="Y23" i="7"/>
  <c r="Y40" i="7"/>
  <c r="Y29" i="7"/>
  <c r="Y45" i="7"/>
  <c r="P32" i="12"/>
  <c r="P32" i="24" s="1"/>
  <c r="P74" i="24" s="1"/>
  <c r="P32" i="13"/>
  <c r="P26" i="12"/>
  <c r="P26" i="13"/>
  <c r="P27" i="12"/>
  <c r="P27" i="24" s="1"/>
  <c r="P69" i="24" s="1"/>
  <c r="P27" i="13"/>
  <c r="P17" i="12"/>
  <c r="P17" i="13"/>
  <c r="P39" i="12"/>
  <c r="P39" i="24" s="1"/>
  <c r="P81" i="24" s="1"/>
  <c r="P39" i="13"/>
  <c r="P29" i="12"/>
  <c r="P29" i="13"/>
  <c r="P35" i="12"/>
  <c r="P35" i="24" s="1"/>
  <c r="P77" i="24" s="1"/>
  <c r="P35" i="13"/>
  <c r="P41" i="12"/>
  <c r="P41" i="13"/>
  <c r="P7" i="12"/>
  <c r="P7" i="24" s="1"/>
  <c r="P49" i="24" s="1"/>
  <c r="P7" i="13"/>
  <c r="P15" i="12"/>
  <c r="P15" i="13"/>
  <c r="V19" i="9"/>
  <c r="V34" i="9"/>
  <c r="V48" i="9"/>
  <c r="V21" i="9"/>
  <c r="V39" i="9"/>
  <c r="V6" i="9"/>
  <c r="V23" i="9"/>
  <c r="V41" i="9"/>
  <c r="V9" i="9"/>
  <c r="V25" i="9"/>
  <c r="V46" i="9"/>
  <c r="M49" i="9"/>
  <c r="M23" i="9"/>
  <c r="M19" i="9"/>
  <c r="M38" i="9"/>
  <c r="W43" i="8"/>
  <c r="V43" i="23" s="1"/>
  <c r="V95" i="23" s="1"/>
  <c r="V34" i="12"/>
  <c r="T34" i="24" s="1"/>
  <c r="T76" i="24" s="1"/>
  <c r="V34" i="13"/>
  <c r="V27" i="12"/>
  <c r="V27" i="13"/>
  <c r="V25" i="12"/>
  <c r="T25" i="24" s="1"/>
  <c r="T67" i="24" s="1"/>
  <c r="V25" i="13"/>
  <c r="V26" i="12"/>
  <c r="V26" i="13"/>
  <c r="V35" i="12"/>
  <c r="T35" i="24" s="1"/>
  <c r="T77" i="24" s="1"/>
  <c r="V35" i="13"/>
  <c r="V33" i="12"/>
  <c r="V33" i="13"/>
  <c r="V7" i="12"/>
  <c r="T7" i="24" s="1"/>
  <c r="T49" i="24" s="1"/>
  <c r="V7" i="13"/>
  <c r="V11" i="12"/>
  <c r="V11" i="13"/>
  <c r="V24" i="12"/>
  <c r="T24" i="24" s="1"/>
  <c r="T66" i="24" s="1"/>
  <c r="V24" i="13"/>
  <c r="AC30" i="8"/>
  <c r="AC23" i="8"/>
  <c r="AC49" i="8"/>
  <c r="M42" i="9"/>
  <c r="P53" i="9"/>
  <c r="U38" i="8"/>
  <c r="T38" i="23" s="1"/>
  <c r="T90" i="23" s="1"/>
  <c r="U26" i="8"/>
  <c r="T26" i="23" s="1"/>
  <c r="T78" i="23" s="1"/>
  <c r="U31" i="8"/>
  <c r="T31" i="23" s="1"/>
  <c r="T83" i="23" s="1"/>
  <c r="M40" i="9"/>
  <c r="X53" i="9"/>
  <c r="W50" i="8"/>
  <c r="V50" i="23" s="1"/>
  <c r="V102" i="23" s="1"/>
  <c r="W31" i="8"/>
  <c r="V31" i="23" s="1"/>
  <c r="V83" i="23" s="1"/>
  <c r="W10" i="8"/>
  <c r="V10" i="23" s="1"/>
  <c r="V62" i="23" s="1"/>
  <c r="W21" i="8"/>
  <c r="V21" i="23" s="1"/>
  <c r="V73" i="23" s="1"/>
  <c r="W27" i="8"/>
  <c r="V27" i="23" s="1"/>
  <c r="V79" i="23" s="1"/>
  <c r="W28" i="8"/>
  <c r="V28" i="23" s="1"/>
  <c r="V80" i="23" s="1"/>
  <c r="O16" i="8"/>
  <c r="O16" i="23" s="1"/>
  <c r="O68" i="23" s="1"/>
  <c r="O20" i="8"/>
  <c r="O20" i="23" s="1"/>
  <c r="O72" i="23" s="1"/>
  <c r="M36" i="9"/>
  <c r="W9" i="11"/>
  <c r="W5" i="11"/>
  <c r="W26" i="11"/>
  <c r="M33" i="9"/>
  <c r="AC44" i="8"/>
  <c r="AC36" i="8"/>
  <c r="AC31" i="8"/>
  <c r="U28" i="8"/>
  <c r="T28" i="23" s="1"/>
  <c r="T80" i="23" s="1"/>
  <c r="U36" i="8"/>
  <c r="T36" i="23" s="1"/>
  <c r="T88" i="23" s="1"/>
  <c r="U13" i="8"/>
  <c r="T13" i="23" s="1"/>
  <c r="T65" i="23" s="1"/>
  <c r="X34" i="8"/>
  <c r="W34" i="23" s="1"/>
  <c r="W86" i="23" s="1"/>
  <c r="X29" i="8"/>
  <c r="W29" i="23" s="1"/>
  <c r="W81" i="23" s="1"/>
  <c r="X42" i="8"/>
  <c r="W42" i="23" s="1"/>
  <c r="W94" i="23" s="1"/>
  <c r="X15" i="8"/>
  <c r="W15" i="23" s="1"/>
  <c r="W67" i="23" s="1"/>
  <c r="L53" i="8"/>
  <c r="M17" i="9"/>
  <c r="Q6" i="8"/>
  <c r="Q6" i="23" s="1"/>
  <c r="Q58" i="23" s="1"/>
  <c r="Q14" i="8"/>
  <c r="Q14" i="23" s="1"/>
  <c r="Q66" i="23" s="1"/>
  <c r="Q51" i="8"/>
  <c r="Q51" i="23" s="1"/>
  <c r="Q103" i="23" s="1"/>
  <c r="Q39" i="8"/>
  <c r="Q39" i="23" s="1"/>
  <c r="Q91" i="23" s="1"/>
  <c r="M28" i="9"/>
  <c r="W25" i="11"/>
  <c r="AI53" i="9"/>
  <c r="N38" i="12"/>
  <c r="N38" i="24" s="1"/>
  <c r="N80" i="24" s="1"/>
  <c r="N38" i="13"/>
  <c r="N40" i="12"/>
  <c r="N40" i="13"/>
  <c r="N34" i="12"/>
  <c r="N34" i="24" s="1"/>
  <c r="N76" i="24" s="1"/>
  <c r="N34" i="13"/>
  <c r="N36" i="12"/>
  <c r="N36" i="13"/>
  <c r="N19" i="12"/>
  <c r="N19" i="24" s="1"/>
  <c r="N61" i="24" s="1"/>
  <c r="N19" i="13"/>
  <c r="N25" i="12"/>
  <c r="N25" i="13"/>
  <c r="N14" i="12"/>
  <c r="N14" i="24" s="1"/>
  <c r="N56" i="24" s="1"/>
  <c r="N14" i="13"/>
  <c r="N15" i="12"/>
  <c r="N15" i="13"/>
  <c r="N8" i="12"/>
  <c r="N8" i="24" s="1"/>
  <c r="N50" i="24" s="1"/>
  <c r="N8" i="13"/>
  <c r="AA20" i="11"/>
  <c r="Z20" i="12"/>
  <c r="AA20" i="12" s="1"/>
  <c r="Z20" i="13"/>
  <c r="AA20" i="13" s="1"/>
  <c r="AA38" i="11"/>
  <c r="Z38" i="12"/>
  <c r="AA38" i="12" s="1"/>
  <c r="Z38" i="13"/>
  <c r="AA38" i="13" s="1"/>
  <c r="AA16" i="11"/>
  <c r="Z16" i="12"/>
  <c r="AA16" i="12" s="1"/>
  <c r="Z16" i="13"/>
  <c r="AA16" i="13" s="1"/>
  <c r="AA11" i="11"/>
  <c r="Z11" i="12"/>
  <c r="AA11" i="12" s="1"/>
  <c r="Z11" i="13"/>
  <c r="AA11" i="13" s="1"/>
  <c r="AA21" i="11"/>
  <c r="Z21" i="12"/>
  <c r="AA21" i="12" s="1"/>
  <c r="Z21" i="13"/>
  <c r="AA21" i="13" s="1"/>
  <c r="AA19" i="11"/>
  <c r="Z19" i="12"/>
  <c r="AA19" i="12" s="1"/>
  <c r="Z19" i="13"/>
  <c r="AA19" i="13" s="1"/>
  <c r="AA30" i="11"/>
  <c r="Z30" i="12"/>
  <c r="AA30" i="12" s="1"/>
  <c r="Z30" i="13"/>
  <c r="AA30" i="13" s="1"/>
  <c r="AA7" i="11"/>
  <c r="Z7" i="12"/>
  <c r="AA7" i="12" s="1"/>
  <c r="Z7" i="13"/>
  <c r="AA7" i="13" s="1"/>
  <c r="AA13" i="11"/>
  <c r="Z13" i="12"/>
  <c r="AA13" i="12" s="1"/>
  <c r="Z13" i="13"/>
  <c r="AA13" i="13" s="1"/>
  <c r="T19" i="12"/>
  <c r="T19" i="13"/>
  <c r="T25" i="12"/>
  <c r="W25" i="12" s="1"/>
  <c r="T25" i="13"/>
  <c r="T26" i="12"/>
  <c r="T26" i="13"/>
  <c r="W26" i="13" s="1"/>
  <c r="T27" i="12"/>
  <c r="W27" i="12" s="1"/>
  <c r="T27" i="13"/>
  <c r="T17" i="12"/>
  <c r="T17" i="13"/>
  <c r="T34" i="12"/>
  <c r="W34" i="12" s="1"/>
  <c r="T34" i="13"/>
  <c r="W34" i="13" s="1"/>
  <c r="T15" i="12"/>
  <c r="T15" i="13"/>
  <c r="T28" i="12"/>
  <c r="T28" i="13"/>
  <c r="T8" i="12"/>
  <c r="T8" i="13"/>
  <c r="M51" i="9"/>
  <c r="M6" i="9"/>
  <c r="R33" i="12"/>
  <c r="S33" i="12" s="1"/>
  <c r="S33" i="11"/>
  <c r="R33" i="13"/>
  <c r="S33" i="13" s="1"/>
  <c r="R39" i="12"/>
  <c r="S39" i="12" s="1"/>
  <c r="S39" i="11"/>
  <c r="R39" i="13"/>
  <c r="S39" i="13" s="1"/>
  <c r="R29" i="12"/>
  <c r="S29" i="12" s="1"/>
  <c r="S29" i="11"/>
  <c r="R29" i="13"/>
  <c r="S29" i="13" s="1"/>
  <c r="R35" i="12"/>
  <c r="S35" i="12" s="1"/>
  <c r="S35" i="11"/>
  <c r="R35" i="13"/>
  <c r="S35" i="13" s="1"/>
  <c r="R36" i="12"/>
  <c r="S36" i="12" s="1"/>
  <c r="S36" i="11"/>
  <c r="R36" i="13"/>
  <c r="S36" i="13" s="1"/>
  <c r="R37" i="12"/>
  <c r="S37" i="12" s="1"/>
  <c r="S37" i="11"/>
  <c r="R37" i="13"/>
  <c r="S37" i="13" s="1"/>
  <c r="R27" i="12"/>
  <c r="S27" i="12" s="1"/>
  <c r="S27" i="11"/>
  <c r="R27" i="13"/>
  <c r="S27" i="13" s="1"/>
  <c r="R8" i="12"/>
  <c r="S8" i="12" s="1"/>
  <c r="S8" i="11"/>
  <c r="R8" i="13"/>
  <c r="S8" i="13" s="1"/>
  <c r="R18" i="12"/>
  <c r="S18" i="12" s="1"/>
  <c r="S18" i="11"/>
  <c r="R18" i="13"/>
  <c r="S18" i="13" s="1"/>
  <c r="P16" i="12"/>
  <c r="P16" i="24" s="1"/>
  <c r="P58" i="24" s="1"/>
  <c r="P16" i="13"/>
  <c r="P37" i="12"/>
  <c r="P37" i="13"/>
  <c r="P38" i="12"/>
  <c r="P38" i="24" s="1"/>
  <c r="P80" i="24" s="1"/>
  <c r="P38" i="13"/>
  <c r="P40" i="12"/>
  <c r="P40" i="13"/>
  <c r="P23" i="12"/>
  <c r="P23" i="24" s="1"/>
  <c r="P65" i="24" s="1"/>
  <c r="P23" i="13"/>
  <c r="P12" i="12"/>
  <c r="P12" i="13"/>
  <c r="P19" i="12"/>
  <c r="P19" i="24" s="1"/>
  <c r="P61" i="24" s="1"/>
  <c r="P19" i="13"/>
  <c r="P25" i="12"/>
  <c r="P25" i="13"/>
  <c r="P8" i="12"/>
  <c r="P8" i="24" s="1"/>
  <c r="P50" i="24" s="1"/>
  <c r="P8" i="13"/>
  <c r="L47" i="11"/>
  <c r="AB8" i="7"/>
  <c r="V8" i="9"/>
  <c r="V22" i="9"/>
  <c r="V37" i="9"/>
  <c r="V7" i="9"/>
  <c r="V24" i="9"/>
  <c r="V42" i="9"/>
  <c r="V10" i="9"/>
  <c r="V26" i="9"/>
  <c r="V44" i="9"/>
  <c r="V12" i="9"/>
  <c r="V28" i="9"/>
  <c r="V51" i="9"/>
  <c r="M22" i="9"/>
  <c r="M39" i="9"/>
  <c r="AB42" i="7"/>
  <c r="M48" i="9"/>
  <c r="W44" i="8"/>
  <c r="V44" i="23" s="1"/>
  <c r="V96" i="23" s="1"/>
  <c r="W30" i="8"/>
  <c r="V30" i="23" s="1"/>
  <c r="V82" i="23" s="1"/>
  <c r="W39" i="8"/>
  <c r="V39" i="23" s="1"/>
  <c r="V91" i="23" s="1"/>
  <c r="W7" i="8"/>
  <c r="V7" i="23" s="1"/>
  <c r="V59" i="23" s="1"/>
  <c r="W14" i="8"/>
  <c r="V14" i="23" s="1"/>
  <c r="V66" i="23" s="1"/>
  <c r="W34" i="11"/>
  <c r="V32" i="12"/>
  <c r="V32" i="13"/>
  <c r="V18" i="12"/>
  <c r="T18" i="24" s="1"/>
  <c r="T60" i="24" s="1"/>
  <c r="V18" i="13"/>
  <c r="V30" i="12"/>
  <c r="V30" i="13"/>
  <c r="V40" i="12"/>
  <c r="T40" i="24" s="1"/>
  <c r="T82" i="24" s="1"/>
  <c r="V40" i="13"/>
  <c r="V37" i="12"/>
  <c r="V37" i="13"/>
  <c r="V19" i="12"/>
  <c r="T19" i="24" s="1"/>
  <c r="T61" i="24" s="1"/>
  <c r="V19" i="13"/>
  <c r="V17" i="12"/>
  <c r="V17" i="13"/>
  <c r="V8" i="12"/>
  <c r="T8" i="24" s="1"/>
  <c r="T50" i="24" s="1"/>
  <c r="V8" i="13"/>
  <c r="V15" i="12"/>
  <c r="V15" i="13"/>
  <c r="V28" i="12"/>
  <c r="T28" i="24" s="1"/>
  <c r="T70" i="24" s="1"/>
  <c r="V28" i="13"/>
  <c r="AD5" i="9"/>
  <c r="AD53" i="9" s="1"/>
  <c r="AC53" i="9"/>
  <c r="AC32" i="8"/>
  <c r="M7" i="9"/>
  <c r="U30" i="8"/>
  <c r="T30" i="23" s="1"/>
  <c r="T82" i="23" s="1"/>
  <c r="U14" i="8"/>
  <c r="T14" i="23" s="1"/>
  <c r="T66" i="23" s="1"/>
  <c r="U44" i="8"/>
  <c r="T44" i="23" s="1"/>
  <c r="T96" i="23" s="1"/>
  <c r="M47" i="9"/>
  <c r="X38" i="8"/>
  <c r="W38" i="23" s="1"/>
  <c r="W90" i="23" s="1"/>
  <c r="M45" i="9"/>
  <c r="O6" i="8"/>
  <c r="O6" i="23" s="1"/>
  <c r="O58" i="23" s="1"/>
  <c r="O39" i="8"/>
  <c r="O39" i="23" s="1"/>
  <c r="O91" i="23" s="1"/>
  <c r="O43" i="8"/>
  <c r="O43" i="23" s="1"/>
  <c r="O95" i="23" s="1"/>
  <c r="O36" i="8"/>
  <c r="O36" i="23" s="1"/>
  <c r="O88" i="23" s="1"/>
  <c r="M13" i="9"/>
  <c r="W40" i="11"/>
  <c r="W21" i="11"/>
  <c r="M43" i="12"/>
  <c r="AC17" i="8"/>
  <c r="M34" i="9"/>
  <c r="AH5" i="8"/>
  <c r="AD5" i="23" s="1"/>
  <c r="AD57" i="23" s="1"/>
  <c r="AH30" i="8"/>
  <c r="AD30" i="23" s="1"/>
  <c r="AD82" i="23" s="1"/>
  <c r="AH50" i="8"/>
  <c r="AD50" i="23" s="1"/>
  <c r="AD102" i="23" s="1"/>
  <c r="P22" i="8"/>
  <c r="P17" i="8"/>
  <c r="P17" i="23" s="1"/>
  <c r="P69" i="23" s="1"/>
  <c r="P10" i="8"/>
  <c r="P10" i="23" s="1"/>
  <c r="P62" i="23" s="1"/>
  <c r="P34" i="8"/>
  <c r="P34" i="23" s="1"/>
  <c r="P86" i="23" s="1"/>
  <c r="P32" i="8"/>
  <c r="P32" i="23" s="1"/>
  <c r="P84" i="23" s="1"/>
  <c r="U49" i="8"/>
  <c r="T49" i="23" s="1"/>
  <c r="T101" i="23" s="1"/>
  <c r="U41" i="8"/>
  <c r="T41" i="23" s="1"/>
  <c r="T93" i="23" s="1"/>
  <c r="AB36" i="7"/>
  <c r="X8" i="8"/>
  <c r="W8" i="23" s="1"/>
  <c r="W60" i="23" s="1"/>
  <c r="X17" i="8"/>
  <c r="W17" i="23" s="1"/>
  <c r="W69" i="23" s="1"/>
  <c r="M37" i="9"/>
  <c r="W48" i="8"/>
  <c r="V48" i="23" s="1"/>
  <c r="V100" i="23" s="1"/>
  <c r="W49" i="8"/>
  <c r="V49" i="23" s="1"/>
  <c r="V101" i="23" s="1"/>
  <c r="W6" i="8"/>
  <c r="V6" i="23" s="1"/>
  <c r="V58" i="23" s="1"/>
  <c r="W16" i="8"/>
  <c r="V16" i="23" s="1"/>
  <c r="V68" i="23" s="1"/>
  <c r="W22" i="8"/>
  <c r="V22" i="23" s="1"/>
  <c r="V74" i="23" s="1"/>
  <c r="O13" i="8"/>
  <c r="O13" i="23" s="1"/>
  <c r="O65" i="23" s="1"/>
  <c r="O17" i="8"/>
  <c r="O17" i="23" s="1"/>
  <c r="O69" i="23" s="1"/>
  <c r="O23" i="8"/>
  <c r="O23" i="23" s="1"/>
  <c r="O75" i="23" s="1"/>
  <c r="O28" i="8"/>
  <c r="O28" i="23" s="1"/>
  <c r="O80" i="23" s="1"/>
  <c r="O32" i="8"/>
  <c r="O32" i="23" s="1"/>
  <c r="O84" i="23" s="1"/>
  <c r="W14" i="11"/>
  <c r="W41" i="11"/>
  <c r="AI53" i="8"/>
  <c r="N22" i="12"/>
  <c r="N22" i="13"/>
  <c r="N20" i="12"/>
  <c r="N20" i="13"/>
  <c r="N18" i="12"/>
  <c r="N18" i="13"/>
  <c r="N32" i="12"/>
  <c r="N32" i="13"/>
  <c r="N30" i="12"/>
  <c r="N30" i="13"/>
  <c r="N28" i="12"/>
  <c r="N28" i="13"/>
  <c r="N26" i="12"/>
  <c r="N26" i="13"/>
  <c r="N5" i="12"/>
  <c r="N43" i="12" s="1"/>
  <c r="N43" i="11"/>
  <c r="N5" i="13"/>
  <c r="N9" i="12"/>
  <c r="N9" i="13"/>
  <c r="AA37" i="11"/>
  <c r="Z37" i="12"/>
  <c r="AA37" i="12" s="1"/>
  <c r="Z37" i="13"/>
  <c r="AA37" i="13" s="1"/>
  <c r="AA31" i="11"/>
  <c r="Z31" i="12"/>
  <c r="AA31" i="12" s="1"/>
  <c r="Z31" i="13"/>
  <c r="AA31" i="13" s="1"/>
  <c r="AA29" i="11"/>
  <c r="Z29" i="12"/>
  <c r="AA29" i="12" s="1"/>
  <c r="Z29" i="13"/>
  <c r="AA29" i="13" s="1"/>
  <c r="AA27" i="11"/>
  <c r="Z27" i="12"/>
  <c r="AA27" i="12" s="1"/>
  <c r="Z27" i="13"/>
  <c r="AA27" i="13" s="1"/>
  <c r="AA39" i="11"/>
  <c r="Z39" i="12"/>
  <c r="AA39" i="12" s="1"/>
  <c r="Z39" i="13"/>
  <c r="AA39" i="13" s="1"/>
  <c r="AA40" i="11"/>
  <c r="Z40" i="12"/>
  <c r="AA40" i="12" s="1"/>
  <c r="Z40" i="13"/>
  <c r="AA40" i="13" s="1"/>
  <c r="AA18" i="11"/>
  <c r="Z18" i="12"/>
  <c r="AA18" i="12" s="1"/>
  <c r="Z18" i="13"/>
  <c r="AA18" i="13" s="1"/>
  <c r="AA34" i="11"/>
  <c r="Z34" i="12"/>
  <c r="AA34" i="12" s="1"/>
  <c r="Z34" i="13"/>
  <c r="AA34" i="13" s="1"/>
  <c r="AA8" i="11"/>
  <c r="Z8" i="12"/>
  <c r="AA8" i="12" s="1"/>
  <c r="Z8" i="13"/>
  <c r="AA8" i="13" s="1"/>
  <c r="AA15" i="11"/>
  <c r="Z15" i="12"/>
  <c r="AA15" i="12" s="1"/>
  <c r="Z15" i="13"/>
  <c r="AA15" i="13" s="1"/>
  <c r="T30" i="12"/>
  <c r="W30" i="12" s="1"/>
  <c r="T30" i="13"/>
  <c r="W30" i="13" s="1"/>
  <c r="T36" i="12"/>
  <c r="W36" i="12" s="1"/>
  <c r="T36" i="13"/>
  <c r="W36" i="13" s="1"/>
  <c r="T37" i="12"/>
  <c r="W37" i="12" s="1"/>
  <c r="T37" i="13"/>
  <c r="W37" i="13" s="1"/>
  <c r="T38" i="12"/>
  <c r="W38" i="12" s="1"/>
  <c r="T38" i="13"/>
  <c r="W38" i="13" s="1"/>
  <c r="T11" i="12"/>
  <c r="W11" i="12" s="1"/>
  <c r="T11" i="13"/>
  <c r="W11" i="13" s="1"/>
  <c r="T18" i="12"/>
  <c r="W18" i="12" s="1"/>
  <c r="T18" i="13"/>
  <c r="W18" i="13" s="1"/>
  <c r="T16" i="12"/>
  <c r="W16" i="12" s="1"/>
  <c r="T16" i="13"/>
  <c r="W16" i="13" s="1"/>
  <c r="T5" i="12"/>
  <c r="R5" i="24" s="1"/>
  <c r="R47" i="24" s="1"/>
  <c r="T43" i="11"/>
  <c r="T5" i="13"/>
  <c r="T9" i="12"/>
  <c r="W9" i="12" s="1"/>
  <c r="T9" i="13"/>
  <c r="W9" i="13" s="1"/>
  <c r="M5" i="9"/>
  <c r="M53" i="7"/>
  <c r="M58" i="7" s="1"/>
  <c r="M44" i="8" s="1"/>
  <c r="M44" i="23" s="1"/>
  <c r="M96" i="23" s="1"/>
  <c r="M10" i="9"/>
  <c r="R17" i="12"/>
  <c r="S17" i="12" s="1"/>
  <c r="S17" i="11"/>
  <c r="R17" i="13"/>
  <c r="S17" i="13" s="1"/>
  <c r="R23" i="12"/>
  <c r="S23" i="12" s="1"/>
  <c r="S23" i="11"/>
  <c r="R23" i="13"/>
  <c r="S23" i="13" s="1"/>
  <c r="R12" i="12"/>
  <c r="S12" i="12" s="1"/>
  <c r="S12" i="11"/>
  <c r="R12" i="13"/>
  <c r="S12" i="13" s="1"/>
  <c r="R19" i="12"/>
  <c r="S19" i="12" s="1"/>
  <c r="S19" i="11"/>
  <c r="R19" i="13"/>
  <c r="S19" i="13" s="1"/>
  <c r="R20" i="12"/>
  <c r="S20" i="12" s="1"/>
  <c r="S20" i="11"/>
  <c r="R20" i="13"/>
  <c r="S20" i="13" s="1"/>
  <c r="R21" i="12"/>
  <c r="S21" i="12" s="1"/>
  <c r="S21" i="11"/>
  <c r="R21" i="13"/>
  <c r="S21" i="13" s="1"/>
  <c r="R5" i="12"/>
  <c r="Q5" i="24" s="1"/>
  <c r="Q47" i="24" s="1"/>
  <c r="S5" i="11"/>
  <c r="R43" i="11"/>
  <c r="R5" i="13"/>
  <c r="R9" i="12"/>
  <c r="S9" i="12" s="1"/>
  <c r="S9" i="11"/>
  <c r="R9" i="13"/>
  <c r="S9" i="13" s="1"/>
  <c r="R22" i="12"/>
  <c r="S22" i="12" s="1"/>
  <c r="S22" i="11"/>
  <c r="R22" i="13"/>
  <c r="S22" i="13" s="1"/>
  <c r="N56" i="6"/>
  <c r="D10" i="5"/>
  <c r="T56" i="6" s="1"/>
  <c r="C14" i="26" l="1"/>
  <c r="W39" i="12"/>
  <c r="W12" i="12"/>
  <c r="P30" i="24"/>
  <c r="P72" i="24" s="1"/>
  <c r="P34" i="24"/>
  <c r="P76" i="24" s="1"/>
  <c r="W23" i="12"/>
  <c r="P22" i="24"/>
  <c r="P64" i="24" s="1"/>
  <c r="N7" i="24"/>
  <c r="N49" i="24" s="1"/>
  <c r="N31" i="24"/>
  <c r="N73" i="24" s="1"/>
  <c r="N35" i="24"/>
  <c r="N77" i="24" s="1"/>
  <c r="N23" i="24"/>
  <c r="N65" i="24" s="1"/>
  <c r="N27" i="24"/>
  <c r="N69" i="24" s="1"/>
  <c r="T10" i="24"/>
  <c r="T52" i="24" s="1"/>
  <c r="T22" i="24"/>
  <c r="T64" i="24" s="1"/>
  <c r="T23" i="24"/>
  <c r="T65" i="24" s="1"/>
  <c r="T12" i="24"/>
  <c r="T54" i="24" s="1"/>
  <c r="P6" i="24"/>
  <c r="P48" i="24" s="1"/>
  <c r="P20" i="24"/>
  <c r="P62" i="24" s="1"/>
  <c r="P11" i="24"/>
  <c r="P53" i="24" s="1"/>
  <c r="P28" i="24"/>
  <c r="P70" i="24" s="1"/>
  <c r="R6" i="24"/>
  <c r="R48" i="24" s="1"/>
  <c r="R22" i="24"/>
  <c r="R64" i="24" s="1"/>
  <c r="R40" i="24"/>
  <c r="R82" i="24" s="1"/>
  <c r="N6" i="24"/>
  <c r="N48" i="24" s="1"/>
  <c r="N11" i="24"/>
  <c r="N53" i="24" s="1"/>
  <c r="N16" i="24"/>
  <c r="N58" i="24" s="1"/>
  <c r="N39" i="24"/>
  <c r="N81" i="24" s="1"/>
  <c r="N24" i="24"/>
  <c r="N66" i="24" s="1"/>
  <c r="T38" i="24"/>
  <c r="T80" i="24" s="1"/>
  <c r="T39" i="24"/>
  <c r="T81" i="24" s="1"/>
  <c r="T29" i="24"/>
  <c r="T71" i="24" s="1"/>
  <c r="I7" i="26"/>
  <c r="I13" i="26" s="1"/>
  <c r="N32" i="24"/>
  <c r="N74" i="24" s="1"/>
  <c r="N9" i="24"/>
  <c r="N51" i="24" s="1"/>
  <c r="T15" i="24"/>
  <c r="T57" i="24" s="1"/>
  <c r="T17" i="24"/>
  <c r="T59" i="24" s="1"/>
  <c r="T37" i="24"/>
  <c r="T79" i="24" s="1"/>
  <c r="T30" i="24"/>
  <c r="T72" i="24" s="1"/>
  <c r="T32" i="24"/>
  <c r="T74" i="24" s="1"/>
  <c r="P25" i="24"/>
  <c r="P67" i="24" s="1"/>
  <c r="P12" i="24"/>
  <c r="P54" i="24" s="1"/>
  <c r="P40" i="24"/>
  <c r="P82" i="24" s="1"/>
  <c r="P37" i="24"/>
  <c r="P79" i="24" s="1"/>
  <c r="N15" i="24"/>
  <c r="N57" i="24" s="1"/>
  <c r="N25" i="24"/>
  <c r="N67" i="24" s="1"/>
  <c r="N36" i="24"/>
  <c r="N78" i="24" s="1"/>
  <c r="N40" i="24"/>
  <c r="N82" i="24" s="1"/>
  <c r="T11" i="24"/>
  <c r="T53" i="24" s="1"/>
  <c r="T33" i="24"/>
  <c r="T75" i="24" s="1"/>
  <c r="T26" i="24"/>
  <c r="T68" i="24" s="1"/>
  <c r="T27" i="24"/>
  <c r="T69" i="24" s="1"/>
  <c r="P15" i="24"/>
  <c r="P57" i="24" s="1"/>
  <c r="P41" i="24"/>
  <c r="P83" i="24" s="1"/>
  <c r="P29" i="24"/>
  <c r="P71" i="24" s="1"/>
  <c r="P17" i="24"/>
  <c r="P59" i="24" s="1"/>
  <c r="P26" i="24"/>
  <c r="P68" i="24" s="1"/>
  <c r="N21" i="24"/>
  <c r="N63" i="24" s="1"/>
  <c r="N41" i="24"/>
  <c r="N83" i="24" s="1"/>
  <c r="N12" i="24"/>
  <c r="N54" i="24" s="1"/>
  <c r="N17" i="24"/>
  <c r="N59" i="24" s="1"/>
  <c r="T6" i="24"/>
  <c r="T48" i="24" s="1"/>
  <c r="T36" i="24"/>
  <c r="T78" i="24" s="1"/>
  <c r="T41" i="24"/>
  <c r="T83" i="24" s="1"/>
  <c r="T14" i="24"/>
  <c r="T56" i="24" s="1"/>
  <c r="P10" i="24"/>
  <c r="P52" i="24" s="1"/>
  <c r="P13" i="24"/>
  <c r="P55" i="24" s="1"/>
  <c r="P18" i="24"/>
  <c r="P60" i="24" s="1"/>
  <c r="P33" i="24"/>
  <c r="P75" i="24" s="1"/>
  <c r="P14" i="24"/>
  <c r="P56" i="24" s="1"/>
  <c r="R10" i="24"/>
  <c r="R52" i="24" s="1"/>
  <c r="R20" i="24"/>
  <c r="R62" i="24" s="1"/>
  <c r="V5" i="24"/>
  <c r="V47" i="24" s="1"/>
  <c r="N10" i="24"/>
  <c r="N52" i="24" s="1"/>
  <c r="N37" i="24"/>
  <c r="N79" i="24" s="1"/>
  <c r="N13" i="24"/>
  <c r="N55" i="24" s="1"/>
  <c r="N29" i="24"/>
  <c r="N71" i="24" s="1"/>
  <c r="N33" i="24"/>
  <c r="N75" i="24" s="1"/>
  <c r="T5" i="24"/>
  <c r="T47" i="24" s="1"/>
  <c r="J11" i="26" s="1"/>
  <c r="T21" i="24"/>
  <c r="T63" i="24" s="1"/>
  <c r="T13" i="24"/>
  <c r="T55" i="24" s="1"/>
  <c r="T31" i="24"/>
  <c r="T73" i="24" s="1"/>
  <c r="P9" i="24"/>
  <c r="P51" i="24" s="1"/>
  <c r="N28" i="24"/>
  <c r="N70" i="24" s="1"/>
  <c r="N20" i="24"/>
  <c r="N62" i="24" s="1"/>
  <c r="N26" i="24"/>
  <c r="N68" i="24" s="1"/>
  <c r="N30" i="24"/>
  <c r="N72" i="24" s="1"/>
  <c r="N18" i="24"/>
  <c r="N60" i="24" s="1"/>
  <c r="N22" i="24"/>
  <c r="N64" i="24" s="1"/>
  <c r="R8" i="24"/>
  <c r="R50" i="24" s="1"/>
  <c r="R15" i="24"/>
  <c r="R57" i="24" s="1"/>
  <c r="R17" i="24"/>
  <c r="R59" i="24" s="1"/>
  <c r="R19" i="24"/>
  <c r="R61" i="24" s="1"/>
  <c r="R7" i="24"/>
  <c r="R49" i="24" s="1"/>
  <c r="R33" i="24"/>
  <c r="R75" i="24" s="1"/>
  <c r="R35" i="24"/>
  <c r="R77" i="24" s="1"/>
  <c r="P31" i="24"/>
  <c r="P73" i="24" s="1"/>
  <c r="R28" i="24"/>
  <c r="R70" i="24" s="1"/>
  <c r="R24" i="24"/>
  <c r="R66" i="24" s="1"/>
  <c r="R32" i="24"/>
  <c r="R74" i="24" s="1"/>
  <c r="T16" i="24"/>
  <c r="T58" i="24" s="1"/>
  <c r="P5" i="24"/>
  <c r="P47" i="24" s="1"/>
  <c r="P36" i="24"/>
  <c r="P78" i="24" s="1"/>
  <c r="P24" i="24"/>
  <c r="P66" i="24" s="1"/>
  <c r="P21" i="24"/>
  <c r="P63" i="24" s="1"/>
  <c r="I14" i="26"/>
  <c r="J9" i="26"/>
  <c r="H9" i="26"/>
  <c r="H11" i="26"/>
  <c r="F9" i="26"/>
  <c r="F11" i="26"/>
  <c r="W27" i="13"/>
  <c r="W25" i="13"/>
  <c r="W41" i="13"/>
  <c r="W31" i="13"/>
  <c r="G9" i="25"/>
  <c r="G7" i="25"/>
  <c r="G13" i="25" s="1"/>
  <c r="G11" i="25"/>
  <c r="Q37" i="24"/>
  <c r="Q79" i="24" s="1"/>
  <c r="Q39" i="24"/>
  <c r="Q81" i="24" s="1"/>
  <c r="R16" i="24"/>
  <c r="R58" i="24" s="1"/>
  <c r="R37" i="24"/>
  <c r="R79" i="24" s="1"/>
  <c r="V8" i="24"/>
  <c r="V50" i="24" s="1"/>
  <c r="V39" i="24"/>
  <c r="V81" i="24" s="1"/>
  <c r="V37" i="24"/>
  <c r="V79" i="24" s="1"/>
  <c r="Q13" i="24"/>
  <c r="Q55" i="24" s="1"/>
  <c r="Q25" i="24"/>
  <c r="Q67" i="24" s="1"/>
  <c r="Q34" i="24"/>
  <c r="Q76" i="24" s="1"/>
  <c r="R34" i="24"/>
  <c r="R76" i="24" s="1"/>
  <c r="R25" i="24"/>
  <c r="R67" i="24" s="1"/>
  <c r="V30" i="24"/>
  <c r="V72" i="24" s="1"/>
  <c r="V16" i="24"/>
  <c r="V58" i="24" s="1"/>
  <c r="N5" i="24"/>
  <c r="N47" i="24" s="1"/>
  <c r="Q26" i="24"/>
  <c r="Q68" i="24" s="1"/>
  <c r="Q31" i="24"/>
  <c r="Q73" i="24" s="1"/>
  <c r="Q28" i="24"/>
  <c r="Q70" i="24" s="1"/>
  <c r="R23" i="24"/>
  <c r="R65" i="24" s="1"/>
  <c r="R41" i="24"/>
  <c r="R83" i="24" s="1"/>
  <c r="V26" i="24"/>
  <c r="V68" i="24" s="1"/>
  <c r="V32" i="24"/>
  <c r="V74" i="24" s="1"/>
  <c r="Q21" i="24"/>
  <c r="Q63" i="24" s="1"/>
  <c r="Q23" i="24"/>
  <c r="Q65" i="24" s="1"/>
  <c r="R21" i="24"/>
  <c r="R63" i="24" s="1"/>
  <c r="V9" i="24"/>
  <c r="V51" i="24" s="1"/>
  <c r="V23" i="24"/>
  <c r="V65" i="24" s="1"/>
  <c r="V17" i="24"/>
  <c r="V59" i="24" s="1"/>
  <c r="F9" i="25"/>
  <c r="F11" i="25"/>
  <c r="F7" i="25"/>
  <c r="F13" i="25" s="1"/>
  <c r="E9" i="26"/>
  <c r="E11" i="26"/>
  <c r="E7" i="26"/>
  <c r="E13" i="26" s="1"/>
  <c r="B9" i="25"/>
  <c r="B11" i="25"/>
  <c r="B7" i="25"/>
  <c r="B13" i="25" s="1"/>
  <c r="Q18" i="24"/>
  <c r="Q60" i="24" s="1"/>
  <c r="Q36" i="24"/>
  <c r="Q78" i="24" s="1"/>
  <c r="Q33" i="24"/>
  <c r="Q75" i="24" s="1"/>
  <c r="R18" i="24"/>
  <c r="R60" i="24" s="1"/>
  <c r="R36" i="24"/>
  <c r="R78" i="24" s="1"/>
  <c r="V34" i="24"/>
  <c r="V76" i="24" s="1"/>
  <c r="V27" i="24"/>
  <c r="V69" i="24" s="1"/>
  <c r="Q7" i="24"/>
  <c r="Q49" i="24" s="1"/>
  <c r="Q24" i="24"/>
  <c r="Q66" i="24" s="1"/>
  <c r="V19" i="24"/>
  <c r="V61" i="24" s="1"/>
  <c r="V38" i="24"/>
  <c r="V80" i="24" s="1"/>
  <c r="Q10" i="24"/>
  <c r="Q52" i="24" s="1"/>
  <c r="Q41" i="24"/>
  <c r="Q83" i="24" s="1"/>
  <c r="V35" i="24"/>
  <c r="V77" i="24" s="1"/>
  <c r="V33" i="24"/>
  <c r="V75" i="24" s="1"/>
  <c r="Q22" i="24"/>
  <c r="Q64" i="24" s="1"/>
  <c r="Q20" i="24"/>
  <c r="Q62" i="24" s="1"/>
  <c r="Q17" i="24"/>
  <c r="Q59" i="24" s="1"/>
  <c r="R29" i="24"/>
  <c r="R71" i="24" s="1"/>
  <c r="R31" i="24"/>
  <c r="R73" i="24" s="1"/>
  <c r="V25" i="24"/>
  <c r="V67" i="24" s="1"/>
  <c r="Q8" i="24"/>
  <c r="Q50" i="24" s="1"/>
  <c r="Q35" i="24"/>
  <c r="Q77" i="24" s="1"/>
  <c r="R9" i="24"/>
  <c r="R51" i="24" s="1"/>
  <c r="R11" i="24"/>
  <c r="R53" i="24" s="1"/>
  <c r="R30" i="24"/>
  <c r="R72" i="24" s="1"/>
  <c r="V18" i="24"/>
  <c r="V60" i="24" s="1"/>
  <c r="V29" i="24"/>
  <c r="V71" i="24" s="1"/>
  <c r="Q16" i="24"/>
  <c r="Q58" i="24" s="1"/>
  <c r="Q30" i="24"/>
  <c r="Q72" i="24" s="1"/>
  <c r="R27" i="24"/>
  <c r="R69" i="24" s="1"/>
  <c r="V13" i="24"/>
  <c r="V55" i="24" s="1"/>
  <c r="V21" i="24"/>
  <c r="V63" i="24" s="1"/>
  <c r="V20" i="24"/>
  <c r="V62" i="24" s="1"/>
  <c r="Q6" i="24"/>
  <c r="Q48" i="24" s="1"/>
  <c r="G11" i="26" s="1"/>
  <c r="Q40" i="24"/>
  <c r="Q82" i="24" s="1"/>
  <c r="V10" i="24"/>
  <c r="V52" i="24" s="1"/>
  <c r="V41" i="24"/>
  <c r="V83" i="24" s="1"/>
  <c r="V36" i="24"/>
  <c r="V78" i="24" s="1"/>
  <c r="Q9" i="24"/>
  <c r="Q51" i="24" s="1"/>
  <c r="Q19" i="24"/>
  <c r="Q61" i="24" s="1"/>
  <c r="R39" i="24"/>
  <c r="R81" i="24" s="1"/>
  <c r="R13" i="24"/>
  <c r="R55" i="24" s="1"/>
  <c r="V22" i="24"/>
  <c r="V64" i="24" s="1"/>
  <c r="V12" i="24"/>
  <c r="V54" i="24" s="1"/>
  <c r="T20" i="24"/>
  <c r="T62" i="24" s="1"/>
  <c r="J7" i="26" s="1"/>
  <c r="J13" i="26" s="1"/>
  <c r="T9" i="25"/>
  <c r="T7" i="25"/>
  <c r="T13" i="25" s="1"/>
  <c r="T11" i="25"/>
  <c r="W26" i="12"/>
  <c r="E9" i="25"/>
  <c r="E7" i="25"/>
  <c r="E13" i="25" s="1"/>
  <c r="E11" i="25"/>
  <c r="U9" i="25"/>
  <c r="U11" i="25"/>
  <c r="U7" i="25"/>
  <c r="U13" i="25" s="1"/>
  <c r="Q27" i="24"/>
  <c r="Q69" i="24" s="1"/>
  <c r="Q29" i="24"/>
  <c r="Q71" i="24" s="1"/>
  <c r="R38" i="24"/>
  <c r="R80" i="24" s="1"/>
  <c r="V15" i="24"/>
  <c r="V57" i="24" s="1"/>
  <c r="V40" i="24"/>
  <c r="V82" i="24" s="1"/>
  <c r="V31" i="24"/>
  <c r="V73" i="24" s="1"/>
  <c r="Q15" i="24"/>
  <c r="Q57" i="24" s="1"/>
  <c r="Q14" i="24"/>
  <c r="Q56" i="24" s="1"/>
  <c r="Q11" i="24"/>
  <c r="Q53" i="24" s="1"/>
  <c r="R26" i="24"/>
  <c r="R68" i="24" s="1"/>
  <c r="V7" i="24"/>
  <c r="V49" i="24" s="1"/>
  <c r="V11" i="24"/>
  <c r="V53" i="24" s="1"/>
  <c r="Q32" i="24"/>
  <c r="Q74" i="24" s="1"/>
  <c r="Q38" i="24"/>
  <c r="Q80" i="24" s="1"/>
  <c r="R12" i="24"/>
  <c r="R54" i="24" s="1"/>
  <c r="R14" i="24"/>
  <c r="R56" i="24" s="1"/>
  <c r="V6" i="24"/>
  <c r="V48" i="24" s="1"/>
  <c r="L9" i="26" s="1"/>
  <c r="V28" i="24"/>
  <c r="V70" i="24" s="1"/>
  <c r="Q12" i="24"/>
  <c r="Q54" i="24" s="1"/>
  <c r="V24" i="24"/>
  <c r="V66" i="24" s="1"/>
  <c r="V14" i="24"/>
  <c r="V56" i="24" s="1"/>
  <c r="V28" i="8"/>
  <c r="U28" i="23" s="1"/>
  <c r="U80" i="23" s="1"/>
  <c r="V37" i="8"/>
  <c r="U37" i="23" s="1"/>
  <c r="U89" i="23" s="1"/>
  <c r="V24" i="8"/>
  <c r="U24" i="23" s="1"/>
  <c r="U76" i="23" s="1"/>
  <c r="V25" i="8"/>
  <c r="U25" i="23" s="1"/>
  <c r="U77" i="23" s="1"/>
  <c r="V41" i="8"/>
  <c r="U41" i="23" s="1"/>
  <c r="U93" i="23" s="1"/>
  <c r="V6" i="8"/>
  <c r="U6" i="23" s="1"/>
  <c r="U58" i="23" s="1"/>
  <c r="V21" i="8"/>
  <c r="U21" i="23" s="1"/>
  <c r="U73" i="23" s="1"/>
  <c r="V34" i="8"/>
  <c r="U34" i="23" s="1"/>
  <c r="U86" i="23" s="1"/>
  <c r="V10" i="8"/>
  <c r="U10" i="23" s="1"/>
  <c r="U62" i="23" s="1"/>
  <c r="V44" i="8"/>
  <c r="U44" i="23" s="1"/>
  <c r="U96" i="23" s="1"/>
  <c r="V8" i="8"/>
  <c r="U8" i="23" s="1"/>
  <c r="U60" i="23" s="1"/>
  <c r="V46" i="8"/>
  <c r="U46" i="23" s="1"/>
  <c r="U98" i="23" s="1"/>
  <c r="V9" i="8"/>
  <c r="U9" i="23" s="1"/>
  <c r="U61" i="23" s="1"/>
  <c r="V23" i="8"/>
  <c r="U23" i="23" s="1"/>
  <c r="U75" i="23" s="1"/>
  <c r="V39" i="8"/>
  <c r="U39" i="23" s="1"/>
  <c r="U91" i="23" s="1"/>
  <c r="V48" i="8"/>
  <c r="U48" i="23" s="1"/>
  <c r="U100" i="23" s="1"/>
  <c r="V19" i="8"/>
  <c r="U19" i="23" s="1"/>
  <c r="U71" i="23" s="1"/>
  <c r="AD13" i="8"/>
  <c r="AA13" i="23"/>
  <c r="AA65" i="23" s="1"/>
  <c r="AD14" i="8"/>
  <c r="AA14" i="23"/>
  <c r="AA66" i="23" s="1"/>
  <c r="AD11" i="8"/>
  <c r="AA11" i="23"/>
  <c r="AA63" i="23" s="1"/>
  <c r="AD42" i="8"/>
  <c r="AA42" i="23"/>
  <c r="AA94" i="23" s="1"/>
  <c r="AD20" i="8"/>
  <c r="AA20" i="23"/>
  <c r="AA72" i="23" s="1"/>
  <c r="L9" i="25"/>
  <c r="L11" i="25"/>
  <c r="L7" i="25"/>
  <c r="L13" i="25" s="1"/>
  <c r="AD48" i="8"/>
  <c r="AA48" i="23"/>
  <c r="AA100" i="23" s="1"/>
  <c r="AD17" i="8"/>
  <c r="AA17" i="23"/>
  <c r="AA69" i="23" s="1"/>
  <c r="V51" i="8"/>
  <c r="U51" i="23" s="1"/>
  <c r="U103" i="23" s="1"/>
  <c r="V12" i="8"/>
  <c r="U12" i="23" s="1"/>
  <c r="U64" i="23" s="1"/>
  <c r="V26" i="8"/>
  <c r="U26" i="23" s="1"/>
  <c r="U78" i="23" s="1"/>
  <c r="V42" i="8"/>
  <c r="U42" i="23" s="1"/>
  <c r="U94" i="23" s="1"/>
  <c r="V7" i="8"/>
  <c r="U7" i="23" s="1"/>
  <c r="U59" i="23" s="1"/>
  <c r="V22" i="8"/>
  <c r="U22" i="23" s="1"/>
  <c r="U74" i="23" s="1"/>
  <c r="AD44" i="8"/>
  <c r="AA44" i="23"/>
  <c r="AA96" i="23" s="1"/>
  <c r="AD23" i="8"/>
  <c r="AA23" i="23"/>
  <c r="AA75" i="23" s="1"/>
  <c r="AB38" i="7"/>
  <c r="AB17" i="7"/>
  <c r="AD21" i="8"/>
  <c r="AA21" i="23"/>
  <c r="AA73" i="23" s="1"/>
  <c r="AD34" i="8"/>
  <c r="AA34" i="23"/>
  <c r="AA86" i="23" s="1"/>
  <c r="AD9" i="8"/>
  <c r="AA9" i="23"/>
  <c r="AA61" i="23" s="1"/>
  <c r="AD26" i="8"/>
  <c r="AA26" i="23"/>
  <c r="AA78" i="23" s="1"/>
  <c r="AD35" i="8"/>
  <c r="AA35" i="23"/>
  <c r="AA87" i="23" s="1"/>
  <c r="AD36" i="8"/>
  <c r="AA36" i="23"/>
  <c r="AA88" i="23" s="1"/>
  <c r="AD49" i="8"/>
  <c r="AA49" i="23"/>
  <c r="AA101" i="23" s="1"/>
  <c r="AB23" i="7"/>
  <c r="AD30" i="8"/>
  <c r="AA30" i="23"/>
  <c r="AA82" i="23" s="1"/>
  <c r="AB29" i="7"/>
  <c r="AB21" i="7"/>
  <c r="AB5" i="7"/>
  <c r="AB14" i="7"/>
  <c r="AD50" i="8"/>
  <c r="AA50" i="23"/>
  <c r="AA102" i="23" s="1"/>
  <c r="AD43" i="8"/>
  <c r="AA43" i="23"/>
  <c r="AA95" i="23" s="1"/>
  <c r="AD28" i="8"/>
  <c r="AA28" i="23"/>
  <c r="AA80" i="23" s="1"/>
  <c r="M9" i="25"/>
  <c r="M11" i="25"/>
  <c r="M7" i="25"/>
  <c r="M13" i="25" s="1"/>
  <c r="AD6" i="8"/>
  <c r="AA6" i="23"/>
  <c r="AA58" i="23" s="1"/>
  <c r="AD45" i="8"/>
  <c r="AA45" i="23"/>
  <c r="AA97" i="23" s="1"/>
  <c r="AD24" i="8"/>
  <c r="AA24" i="23"/>
  <c r="AA76" i="23" s="1"/>
  <c r="M53" i="9"/>
  <c r="AD32" i="8"/>
  <c r="AA32" i="23"/>
  <c r="AA84" i="23" s="1"/>
  <c r="AB13" i="7"/>
  <c r="AD31" i="8"/>
  <c r="AA31" i="23"/>
  <c r="AA83" i="23" s="1"/>
  <c r="AB46" i="7"/>
  <c r="AB7" i="7"/>
  <c r="AB10" i="7"/>
  <c r="AD18" i="8"/>
  <c r="AA18" i="23"/>
  <c r="AA70" i="23" s="1"/>
  <c r="V43" i="8"/>
  <c r="U43" i="23" s="1"/>
  <c r="U95" i="23" s="1"/>
  <c r="AD40" i="8"/>
  <c r="AA40" i="23"/>
  <c r="AA92" i="23" s="1"/>
  <c r="AD16" i="8"/>
  <c r="AA16" i="23"/>
  <c r="AA68" i="23" s="1"/>
  <c r="J9" i="25"/>
  <c r="J11" i="25"/>
  <c r="J7" i="25"/>
  <c r="J13" i="25" s="1"/>
  <c r="AD19" i="8"/>
  <c r="AA19" i="23"/>
  <c r="AA71" i="23" s="1"/>
  <c r="AD8" i="8"/>
  <c r="AA8" i="23"/>
  <c r="AA60" i="23" s="1"/>
  <c r="P53" i="8"/>
  <c r="Q53" i="8"/>
  <c r="L48" i="10"/>
  <c r="W28" i="12"/>
  <c r="W53" i="8"/>
  <c r="U53" i="8"/>
  <c r="W5" i="13"/>
  <c r="T43" i="13"/>
  <c r="AH53" i="8"/>
  <c r="M7" i="8"/>
  <c r="M7" i="23" s="1"/>
  <c r="M59" i="23" s="1"/>
  <c r="W8" i="13"/>
  <c r="W15" i="13"/>
  <c r="W17" i="13"/>
  <c r="W19" i="13"/>
  <c r="M17" i="8"/>
  <c r="M17" i="23" s="1"/>
  <c r="M69" i="23" s="1"/>
  <c r="M36" i="8"/>
  <c r="M36" i="23" s="1"/>
  <c r="M88" i="23" s="1"/>
  <c r="M23" i="8"/>
  <c r="M23" i="23" s="1"/>
  <c r="M75" i="23" s="1"/>
  <c r="Y23" i="9"/>
  <c r="AB23" i="9" s="1"/>
  <c r="Y30" i="9"/>
  <c r="AB30" i="9" s="1"/>
  <c r="Y47" i="9"/>
  <c r="AB47" i="9" s="1"/>
  <c r="AB47" i="7"/>
  <c r="Y37" i="9"/>
  <c r="AB37" i="9" s="1"/>
  <c r="AB37" i="7"/>
  <c r="Y27" i="9"/>
  <c r="AB27" i="9" s="1"/>
  <c r="Y33" i="9"/>
  <c r="AB33" i="9" s="1"/>
  <c r="AB33" i="7"/>
  <c r="Y22" i="9"/>
  <c r="AB22" i="9" s="1"/>
  <c r="Y13" i="9"/>
  <c r="AB13" i="9" s="1"/>
  <c r="Y15" i="9"/>
  <c r="AB15" i="9" s="1"/>
  <c r="Y12" i="9"/>
  <c r="AB12" i="9" s="1"/>
  <c r="Y8" i="9"/>
  <c r="AB8" i="9" s="1"/>
  <c r="M12" i="8"/>
  <c r="M12" i="23" s="1"/>
  <c r="M64" i="23" s="1"/>
  <c r="W24" i="12"/>
  <c r="W32" i="12"/>
  <c r="M25" i="8"/>
  <c r="M25" i="23" s="1"/>
  <c r="M77" i="23" s="1"/>
  <c r="M27" i="8"/>
  <c r="M27" i="23" s="1"/>
  <c r="M79" i="23" s="1"/>
  <c r="V5" i="8"/>
  <c r="U5" i="23" s="1"/>
  <c r="U57" i="23" s="1"/>
  <c r="V18" i="8"/>
  <c r="U18" i="23" s="1"/>
  <c r="U70" i="23" s="1"/>
  <c r="V31" i="8"/>
  <c r="U31" i="23" s="1"/>
  <c r="U83" i="23" s="1"/>
  <c r="V45" i="8"/>
  <c r="U45" i="23" s="1"/>
  <c r="U97" i="23" s="1"/>
  <c r="V14" i="8"/>
  <c r="U14" i="23" s="1"/>
  <c r="U66" i="23" s="1"/>
  <c r="P43" i="13"/>
  <c r="M29" i="8"/>
  <c r="M29" i="23" s="1"/>
  <c r="M81" i="23" s="1"/>
  <c r="W6" i="13"/>
  <c r="W22" i="13"/>
  <c r="W40" i="13"/>
  <c r="AA43" i="11"/>
  <c r="M30" i="8"/>
  <c r="M30" i="23" s="1"/>
  <c r="M82" i="23" s="1"/>
  <c r="AB15" i="7"/>
  <c r="V33" i="8"/>
  <c r="U33" i="23" s="1"/>
  <c r="U85" i="23" s="1"/>
  <c r="V17" i="8"/>
  <c r="U17" i="23" s="1"/>
  <c r="U69" i="23" s="1"/>
  <c r="V30" i="8"/>
  <c r="U30" i="23" s="1"/>
  <c r="U82" i="23" s="1"/>
  <c r="V47" i="8"/>
  <c r="U47" i="23" s="1"/>
  <c r="U99" i="23" s="1"/>
  <c r="V13" i="8"/>
  <c r="U13" i="23" s="1"/>
  <c r="U65" i="23" s="1"/>
  <c r="V27" i="8"/>
  <c r="U27" i="23" s="1"/>
  <c r="U79" i="23" s="1"/>
  <c r="S41" i="8"/>
  <c r="S42" i="8"/>
  <c r="S44" i="8"/>
  <c r="S18" i="8"/>
  <c r="S37" i="8"/>
  <c r="S38" i="8"/>
  <c r="S39" i="8"/>
  <c r="S30" i="8"/>
  <c r="S17" i="8"/>
  <c r="S8" i="8"/>
  <c r="S22" i="8"/>
  <c r="S16" i="8"/>
  <c r="S6" i="8"/>
  <c r="S47" i="8"/>
  <c r="S49" i="8"/>
  <c r="S50" i="8"/>
  <c r="S51" i="8"/>
  <c r="S5" i="8"/>
  <c r="S32" i="8"/>
  <c r="S33" i="8"/>
  <c r="S34" i="8"/>
  <c r="S35" i="8"/>
  <c r="S9" i="8"/>
  <c r="S25" i="8"/>
  <c r="S14" i="8"/>
  <c r="S24" i="8"/>
  <c r="S36" i="8"/>
  <c r="S40" i="8"/>
  <c r="S23" i="8"/>
  <c r="S48" i="8"/>
  <c r="S20" i="8"/>
  <c r="S11" i="8"/>
  <c r="S27" i="8"/>
  <c r="S21" i="8"/>
  <c r="S31" i="8"/>
  <c r="S7" i="8"/>
  <c r="S15" i="8"/>
  <c r="S43" i="8"/>
  <c r="S45" i="8"/>
  <c r="S46" i="8"/>
  <c r="S12" i="8"/>
  <c r="S28" i="8"/>
  <c r="S19" i="8"/>
  <c r="S13" i="8"/>
  <c r="S29" i="8"/>
  <c r="S10" i="8"/>
  <c r="S26" i="8"/>
  <c r="R43" i="13"/>
  <c r="S5" i="13"/>
  <c r="S43" i="13" s="1"/>
  <c r="N56" i="9"/>
  <c r="N56" i="8"/>
  <c r="N56" i="7"/>
  <c r="E35" i="5"/>
  <c r="L45" i="13"/>
  <c r="L45" i="12"/>
  <c r="L45" i="11"/>
  <c r="L45" i="10"/>
  <c r="N54" i="8"/>
  <c r="N58" i="8" s="1"/>
  <c r="N54" i="9"/>
  <c r="N54" i="7"/>
  <c r="S43" i="11"/>
  <c r="M5" i="8"/>
  <c r="M5" i="23" s="1"/>
  <c r="M57" i="23" s="1"/>
  <c r="N43" i="13"/>
  <c r="M13" i="8"/>
  <c r="M13" i="23" s="1"/>
  <c r="M65" i="23" s="1"/>
  <c r="M48" i="8"/>
  <c r="M48" i="23" s="1"/>
  <c r="M100" i="23" s="1"/>
  <c r="M22" i="8"/>
  <c r="M22" i="23" s="1"/>
  <c r="M74" i="23" s="1"/>
  <c r="M6" i="8"/>
  <c r="M6" i="23" s="1"/>
  <c r="M58" i="23" s="1"/>
  <c r="W8" i="12"/>
  <c r="W15" i="12"/>
  <c r="W17" i="12"/>
  <c r="W19" i="12"/>
  <c r="W43" i="11"/>
  <c r="Y45" i="9"/>
  <c r="AB45" i="9" s="1"/>
  <c r="Y51" i="9"/>
  <c r="AB51" i="9" s="1"/>
  <c r="Y41" i="9"/>
  <c r="AB41" i="9" s="1"/>
  <c r="Y31" i="9"/>
  <c r="AB31" i="9" s="1"/>
  <c r="Y48" i="9"/>
  <c r="AB48" i="9" s="1"/>
  <c r="Y38" i="9"/>
  <c r="AB38" i="9" s="1"/>
  <c r="Y44" i="9"/>
  <c r="AB44" i="9" s="1"/>
  <c r="Y50" i="9"/>
  <c r="AB50" i="9" s="1"/>
  <c r="AB50" i="7"/>
  <c r="Y16" i="9"/>
  <c r="AB16" i="9" s="1"/>
  <c r="Y18" i="9"/>
  <c r="AB18" i="9" s="1"/>
  <c r="Y17" i="9"/>
  <c r="AB17" i="9" s="1"/>
  <c r="Y11" i="9"/>
  <c r="AB11" i="9" s="1"/>
  <c r="W7" i="13"/>
  <c r="W33" i="13"/>
  <c r="W35" i="13"/>
  <c r="M43" i="8"/>
  <c r="M43" i="23" s="1"/>
  <c r="M95" i="23" s="1"/>
  <c r="AB45" i="7"/>
  <c r="V35" i="8"/>
  <c r="U35" i="23" s="1"/>
  <c r="U87" i="23" s="1"/>
  <c r="V20" i="8"/>
  <c r="U20" i="23" s="1"/>
  <c r="U72" i="23" s="1"/>
  <c r="M26" i="8"/>
  <c r="M26" i="23" s="1"/>
  <c r="M78" i="23" s="1"/>
  <c r="M9" i="8"/>
  <c r="M9" i="23" s="1"/>
  <c r="M61" i="23" s="1"/>
  <c r="W6" i="12"/>
  <c r="W22" i="12"/>
  <c r="W40" i="12"/>
  <c r="Z43" i="13"/>
  <c r="AA5" i="13"/>
  <c r="AA43" i="13" s="1"/>
  <c r="X53" i="8"/>
  <c r="V43" i="12"/>
  <c r="P43" i="12"/>
  <c r="M8" i="8"/>
  <c r="M8" i="23" s="1"/>
  <c r="M60" i="23" s="1"/>
  <c r="M11" i="8"/>
  <c r="M11" i="23" s="1"/>
  <c r="M63" i="23" s="1"/>
  <c r="M20" i="8"/>
  <c r="M20" i="23" s="1"/>
  <c r="M72" i="23" s="1"/>
  <c r="AB51" i="7"/>
  <c r="T54" i="8"/>
  <c r="T54" i="9"/>
  <c r="T54" i="7"/>
  <c r="N55" i="9"/>
  <c r="N55" i="8"/>
  <c r="N55" i="7"/>
  <c r="F35" i="5"/>
  <c r="L46" i="13"/>
  <c r="L46" i="12"/>
  <c r="L46" i="11"/>
  <c r="L46" i="10"/>
  <c r="S5" i="12"/>
  <c r="S43" i="12" s="1"/>
  <c r="R43" i="12"/>
  <c r="M10" i="8"/>
  <c r="M10" i="23" s="1"/>
  <c r="M62" i="23" s="1"/>
  <c r="W5" i="12"/>
  <c r="T43" i="12"/>
  <c r="M37" i="8"/>
  <c r="M37" i="23" s="1"/>
  <c r="M89" i="23" s="1"/>
  <c r="M34" i="8"/>
  <c r="M34" i="23" s="1"/>
  <c r="M86" i="23" s="1"/>
  <c r="M47" i="8"/>
  <c r="M47" i="23" s="1"/>
  <c r="M99" i="23" s="1"/>
  <c r="W28" i="13"/>
  <c r="M28" i="8"/>
  <c r="M28" i="23" s="1"/>
  <c r="M80" i="23" s="1"/>
  <c r="M40" i="8"/>
  <c r="M40" i="23" s="1"/>
  <c r="M92" i="23" s="1"/>
  <c r="M19" i="8"/>
  <c r="M19" i="23" s="1"/>
  <c r="M71" i="23" s="1"/>
  <c r="M49" i="8"/>
  <c r="M49" i="23" s="1"/>
  <c r="M101" i="23" s="1"/>
  <c r="Y29" i="9"/>
  <c r="AB29" i="9" s="1"/>
  <c r="Y35" i="9"/>
  <c r="AB35" i="9" s="1"/>
  <c r="AB35" i="7"/>
  <c r="Y24" i="9"/>
  <c r="AB24" i="9" s="1"/>
  <c r="AB24" i="7"/>
  <c r="Y42" i="9"/>
  <c r="AB42" i="9" s="1"/>
  <c r="Y32" i="9"/>
  <c r="AB32" i="9" s="1"/>
  <c r="AB32" i="7"/>
  <c r="Y21" i="9"/>
  <c r="AB21" i="9" s="1"/>
  <c r="Y28" i="9"/>
  <c r="AB28" i="9" s="1"/>
  <c r="AB28" i="7"/>
  <c r="Y34" i="9"/>
  <c r="AB34" i="9" s="1"/>
  <c r="Y6" i="9"/>
  <c r="AB6" i="9" s="1"/>
  <c r="Y53" i="7"/>
  <c r="Y58" i="7" s="1"/>
  <c r="Y37" i="8" s="1"/>
  <c r="AB37" i="8" s="1"/>
  <c r="Y5" i="9"/>
  <c r="Y20" i="9"/>
  <c r="AB20" i="9" s="1"/>
  <c r="Y14" i="9"/>
  <c r="AB14" i="9" s="1"/>
  <c r="M16" i="8"/>
  <c r="M16" i="23" s="1"/>
  <c r="M68" i="23" s="1"/>
  <c r="W7" i="12"/>
  <c r="W33" i="12"/>
  <c r="W35" i="12"/>
  <c r="AB20" i="7"/>
  <c r="AD5" i="8"/>
  <c r="AC53" i="8"/>
  <c r="M24" i="8"/>
  <c r="M24" i="23" s="1"/>
  <c r="M76" i="23" s="1"/>
  <c r="V53" i="9"/>
  <c r="V36" i="8"/>
  <c r="U36" i="23" s="1"/>
  <c r="U88" i="23" s="1"/>
  <c r="V50" i="8"/>
  <c r="U50" i="23" s="1"/>
  <c r="U102" i="23" s="1"/>
  <c r="V16" i="8"/>
  <c r="U16" i="23" s="1"/>
  <c r="U68" i="23" s="1"/>
  <c r="V32" i="8"/>
  <c r="U32" i="23" s="1"/>
  <c r="U84" i="23" s="1"/>
  <c r="M46" i="8"/>
  <c r="M46" i="23" s="1"/>
  <c r="M98" i="23" s="1"/>
  <c r="M18" i="8"/>
  <c r="M18" i="23" s="1"/>
  <c r="M70" i="23" s="1"/>
  <c r="W10" i="13"/>
  <c r="W20" i="13"/>
  <c r="AB30" i="7"/>
  <c r="M41" i="8"/>
  <c r="M41" i="23" s="1"/>
  <c r="M93" i="23" s="1"/>
  <c r="M21" i="8"/>
  <c r="M21" i="23" s="1"/>
  <c r="M73" i="23" s="1"/>
  <c r="V38" i="8"/>
  <c r="U38" i="23" s="1"/>
  <c r="U90" i="23" s="1"/>
  <c r="V49" i="8"/>
  <c r="U49" i="23" s="1"/>
  <c r="U101" i="23" s="1"/>
  <c r="V15" i="8"/>
  <c r="U15" i="23" s="1"/>
  <c r="U67" i="23" s="1"/>
  <c r="V29" i="8"/>
  <c r="U29" i="23" s="1"/>
  <c r="U81" i="23" s="1"/>
  <c r="V40" i="8"/>
  <c r="U40" i="23" s="1"/>
  <c r="U92" i="23" s="1"/>
  <c r="AB44" i="13"/>
  <c r="AB44" i="12"/>
  <c r="X48" i="12" s="1"/>
  <c r="AB44" i="11"/>
  <c r="AB44" i="10"/>
  <c r="AB12" i="7"/>
  <c r="AB22" i="7"/>
  <c r="M45" i="8"/>
  <c r="M45" i="23" s="1"/>
  <c r="M97" i="23" s="1"/>
  <c r="M39" i="8"/>
  <c r="M39" i="23" s="1"/>
  <c r="M91" i="23" s="1"/>
  <c r="M51" i="8"/>
  <c r="M51" i="23" s="1"/>
  <c r="M103" i="23" s="1"/>
  <c r="M33" i="8"/>
  <c r="M33" i="23" s="1"/>
  <c r="M85" i="23" s="1"/>
  <c r="M42" i="8"/>
  <c r="M42" i="23" s="1"/>
  <c r="M94" i="23" s="1"/>
  <c r="M38" i="8"/>
  <c r="M38" i="23" s="1"/>
  <c r="M90" i="23" s="1"/>
  <c r="Y40" i="9"/>
  <c r="AB40" i="9" s="1"/>
  <c r="AB40" i="7"/>
  <c r="Y46" i="9"/>
  <c r="AB46" i="9" s="1"/>
  <c r="Y36" i="9"/>
  <c r="AB36" i="9" s="1"/>
  <c r="Y26" i="9"/>
  <c r="AB26" i="9" s="1"/>
  <c r="AB26" i="7"/>
  <c r="Y43" i="9"/>
  <c r="AB43" i="9" s="1"/>
  <c r="Y49" i="9"/>
  <c r="AB49" i="9" s="1"/>
  <c r="Y39" i="9"/>
  <c r="AB39" i="9" s="1"/>
  <c r="AB39" i="7"/>
  <c r="Y7" i="9"/>
  <c r="AB7" i="9" s="1"/>
  <c r="Y10" i="9"/>
  <c r="AB10" i="9" s="1"/>
  <c r="Y9" i="9"/>
  <c r="AB9" i="9" s="1"/>
  <c r="Y25" i="9"/>
  <c r="AB25" i="9" s="1"/>
  <c r="AB25" i="7"/>
  <c r="Y19" i="9"/>
  <c r="AB19" i="9" s="1"/>
  <c r="M35" i="8"/>
  <c r="M35" i="23" s="1"/>
  <c r="M87" i="23" s="1"/>
  <c r="W24" i="13"/>
  <c r="W32" i="13"/>
  <c r="M14" i="8"/>
  <c r="M14" i="23" s="1"/>
  <c r="M66" i="23" s="1"/>
  <c r="AB27" i="7"/>
  <c r="O53" i="8"/>
  <c r="AB43" i="7"/>
  <c r="M50" i="8"/>
  <c r="M50" i="23" s="1"/>
  <c r="M102" i="23" s="1"/>
  <c r="M15" i="8"/>
  <c r="M15" i="23" s="1"/>
  <c r="M67" i="23" s="1"/>
  <c r="W10" i="12"/>
  <c r="AA5" i="12"/>
  <c r="AA43" i="12" s="1"/>
  <c r="Z43" i="12"/>
  <c r="M32" i="8"/>
  <c r="M32" i="23" s="1"/>
  <c r="M84" i="23" s="1"/>
  <c r="AB49" i="7"/>
  <c r="M31" i="8"/>
  <c r="M31" i="23" s="1"/>
  <c r="M83" i="23" s="1"/>
  <c r="V43" i="13"/>
  <c r="L15" i="11"/>
  <c r="L10" i="11"/>
  <c r="L9" i="11"/>
  <c r="L8" i="11"/>
  <c r="L7" i="11"/>
  <c r="L6" i="11"/>
  <c r="L5" i="11"/>
  <c r="L17" i="11"/>
  <c r="L33" i="11"/>
  <c r="L22" i="11"/>
  <c r="L38" i="11"/>
  <c r="L27" i="11"/>
  <c r="L36" i="11"/>
  <c r="L20" i="11"/>
  <c r="L40" i="11"/>
  <c r="L21" i="11"/>
  <c r="L37" i="11"/>
  <c r="L26" i="11"/>
  <c r="L14" i="11"/>
  <c r="L31" i="11"/>
  <c r="L24" i="11"/>
  <c r="L25" i="11"/>
  <c r="L41" i="11"/>
  <c r="L13" i="11"/>
  <c r="L30" i="11"/>
  <c r="L19" i="11"/>
  <c r="L35" i="11"/>
  <c r="L28" i="11"/>
  <c r="L12" i="11"/>
  <c r="L29" i="11"/>
  <c r="L18" i="11"/>
  <c r="L34" i="11"/>
  <c r="L23" i="11"/>
  <c r="L39" i="11"/>
  <c r="L11" i="11"/>
  <c r="L16" i="11"/>
  <c r="L32" i="11"/>
  <c r="R43" i="8"/>
  <c r="R43" i="23" s="1"/>
  <c r="R95" i="23" s="1"/>
  <c r="R45" i="8"/>
  <c r="R45" i="23" s="1"/>
  <c r="R97" i="23" s="1"/>
  <c r="R46" i="8"/>
  <c r="R46" i="23" s="1"/>
  <c r="R98" i="23" s="1"/>
  <c r="R12" i="8"/>
  <c r="R12" i="23" s="1"/>
  <c r="R64" i="23" s="1"/>
  <c r="R28" i="8"/>
  <c r="R19" i="8"/>
  <c r="R19" i="23" s="1"/>
  <c r="R71" i="23" s="1"/>
  <c r="R13" i="8"/>
  <c r="R13" i="23" s="1"/>
  <c r="R65" i="23" s="1"/>
  <c r="R29" i="8"/>
  <c r="R36" i="8"/>
  <c r="R36" i="23" s="1"/>
  <c r="R88" i="23" s="1"/>
  <c r="R40" i="8"/>
  <c r="R40" i="23" s="1"/>
  <c r="R92" i="23" s="1"/>
  <c r="R23" i="8"/>
  <c r="R48" i="8"/>
  <c r="R48" i="23" s="1"/>
  <c r="R100" i="23" s="1"/>
  <c r="R31" i="8"/>
  <c r="R31" i="23" s="1"/>
  <c r="R83" i="23" s="1"/>
  <c r="R7" i="8"/>
  <c r="R7" i="23" s="1"/>
  <c r="R59" i="23" s="1"/>
  <c r="R15" i="8"/>
  <c r="R15" i="23" s="1"/>
  <c r="R67" i="23" s="1"/>
  <c r="R37" i="8"/>
  <c r="R37" i="23" s="1"/>
  <c r="R89" i="23" s="1"/>
  <c r="R38" i="8"/>
  <c r="R38" i="23" s="1"/>
  <c r="R90" i="23" s="1"/>
  <c r="R39" i="8"/>
  <c r="R39" i="23" s="1"/>
  <c r="R91" i="23" s="1"/>
  <c r="R30" i="8"/>
  <c r="R30" i="23" s="1"/>
  <c r="R82" i="23" s="1"/>
  <c r="R17" i="8"/>
  <c r="R17" i="23" s="1"/>
  <c r="R69" i="23" s="1"/>
  <c r="R8" i="8"/>
  <c r="R8" i="23" s="1"/>
  <c r="R60" i="23" s="1"/>
  <c r="R22" i="8"/>
  <c r="R16" i="8"/>
  <c r="R16" i="23" s="1"/>
  <c r="R68" i="23" s="1"/>
  <c r="R6" i="8"/>
  <c r="R6" i="23" s="1"/>
  <c r="R58" i="23" s="1"/>
  <c r="R47" i="8"/>
  <c r="R47" i="23" s="1"/>
  <c r="R99" i="23" s="1"/>
  <c r="R49" i="8"/>
  <c r="R49" i="23" s="1"/>
  <c r="R101" i="23" s="1"/>
  <c r="R50" i="8"/>
  <c r="R50" i="23" s="1"/>
  <c r="R102" i="23" s="1"/>
  <c r="R51" i="8"/>
  <c r="R51" i="23" s="1"/>
  <c r="R103" i="23" s="1"/>
  <c r="R5" i="8"/>
  <c r="R5" i="23" s="1"/>
  <c r="R57" i="23" s="1"/>
  <c r="R10" i="8"/>
  <c r="R10" i="23" s="1"/>
  <c r="R62" i="23" s="1"/>
  <c r="R26" i="8"/>
  <c r="R32" i="8"/>
  <c r="R32" i="23" s="1"/>
  <c r="R84" i="23" s="1"/>
  <c r="R33" i="8"/>
  <c r="R33" i="23" s="1"/>
  <c r="R85" i="23" s="1"/>
  <c r="R34" i="8"/>
  <c r="R34" i="23" s="1"/>
  <c r="R86" i="23" s="1"/>
  <c r="R35" i="8"/>
  <c r="R35" i="23" s="1"/>
  <c r="R87" i="23" s="1"/>
  <c r="R9" i="8"/>
  <c r="R9" i="23" s="1"/>
  <c r="R61" i="23" s="1"/>
  <c r="R25" i="8"/>
  <c r="R25" i="23" s="1"/>
  <c r="R77" i="23" s="1"/>
  <c r="R14" i="8"/>
  <c r="R14" i="23" s="1"/>
  <c r="R66" i="23" s="1"/>
  <c r="R24" i="8"/>
  <c r="R41" i="8"/>
  <c r="R41" i="23" s="1"/>
  <c r="R93" i="23" s="1"/>
  <c r="R42" i="8"/>
  <c r="R42" i="23" s="1"/>
  <c r="R94" i="23" s="1"/>
  <c r="R44" i="8"/>
  <c r="R44" i="23" s="1"/>
  <c r="R96" i="23" s="1"/>
  <c r="R18" i="8"/>
  <c r="R18" i="23" s="1"/>
  <c r="R70" i="23" s="1"/>
  <c r="R20" i="8"/>
  <c r="R20" i="23" s="1"/>
  <c r="R72" i="23" s="1"/>
  <c r="R11" i="8"/>
  <c r="R11" i="23" s="1"/>
  <c r="R63" i="23" s="1"/>
  <c r="R27" i="8"/>
  <c r="R21" i="8"/>
  <c r="AB9" i="7"/>
  <c r="AB44" i="7"/>
  <c r="AB6" i="7"/>
  <c r="E10" i="5"/>
  <c r="N57" i="6"/>
  <c r="F10" i="5"/>
  <c r="N58" i="6"/>
  <c r="D47" i="5"/>
  <c r="D29" i="5"/>
  <c r="F29" i="5"/>
  <c r="E42" i="5" l="1"/>
  <c r="E21" i="5"/>
  <c r="F7" i="26"/>
  <c r="F13" i="26" s="1"/>
  <c r="H7" i="26"/>
  <c r="H13" i="26" s="1"/>
  <c r="L15" i="26"/>
  <c r="L14" i="26"/>
  <c r="G15" i="25"/>
  <c r="G14" i="25"/>
  <c r="G7" i="26"/>
  <c r="G13" i="26" s="1"/>
  <c r="J15" i="26"/>
  <c r="J14" i="26"/>
  <c r="F15" i="25"/>
  <c r="F14" i="25"/>
  <c r="G9" i="26"/>
  <c r="L11" i="26"/>
  <c r="H9" i="25"/>
  <c r="H7" i="25"/>
  <c r="H13" i="25" s="1"/>
  <c r="H11" i="25"/>
  <c r="E15" i="25"/>
  <c r="E14" i="25"/>
  <c r="T15" i="25"/>
  <c r="T14" i="25"/>
  <c r="E15" i="26"/>
  <c r="E14" i="26"/>
  <c r="H15" i="26"/>
  <c r="H14" i="26"/>
  <c r="L7" i="26"/>
  <c r="L13" i="26" s="1"/>
  <c r="U15" i="25"/>
  <c r="U14" i="25"/>
  <c r="B15" i="25"/>
  <c r="B14" i="25"/>
  <c r="D9" i="26"/>
  <c r="D7" i="26"/>
  <c r="D13" i="26" s="1"/>
  <c r="D11" i="26"/>
  <c r="F15" i="26"/>
  <c r="F14" i="26"/>
  <c r="Q11" i="25"/>
  <c r="Q9" i="25"/>
  <c r="Q14" i="25" s="1"/>
  <c r="L15" i="25"/>
  <c r="L14" i="25"/>
  <c r="C9" i="25"/>
  <c r="C7" i="25"/>
  <c r="C13" i="25" s="1"/>
  <c r="C11" i="25"/>
  <c r="K9" i="25"/>
  <c r="K7" i="25"/>
  <c r="K13" i="25" s="1"/>
  <c r="K11" i="25"/>
  <c r="M15" i="25"/>
  <c r="M14" i="25"/>
  <c r="J15" i="25"/>
  <c r="J14" i="25"/>
  <c r="AD53" i="8"/>
  <c r="Q7" i="25"/>
  <c r="Q13" i="25" s="1"/>
  <c r="X37" i="23"/>
  <c r="X89" i="23" s="1"/>
  <c r="Y49" i="8"/>
  <c r="X49" i="23" s="1"/>
  <c r="X101" i="23" s="1"/>
  <c r="Y40" i="8"/>
  <c r="X40" i="23" s="1"/>
  <c r="X92" i="23" s="1"/>
  <c r="Y14" i="8"/>
  <c r="Y39" i="8"/>
  <c r="Y43" i="8"/>
  <c r="Y9" i="8"/>
  <c r="Y7" i="8"/>
  <c r="Y36" i="8"/>
  <c r="X36" i="23" s="1"/>
  <c r="X88" i="23" s="1"/>
  <c r="Y34" i="8"/>
  <c r="Y35" i="8"/>
  <c r="X35" i="23" s="1"/>
  <c r="X87" i="23" s="1"/>
  <c r="Y25" i="8"/>
  <c r="Y10" i="8"/>
  <c r="Y26" i="8"/>
  <c r="Y46" i="8"/>
  <c r="Y5" i="8"/>
  <c r="X5" i="23" s="1"/>
  <c r="X57" i="23" s="1"/>
  <c r="Y19" i="8"/>
  <c r="Y20" i="8"/>
  <c r="X20" i="23" s="1"/>
  <c r="X72" i="23" s="1"/>
  <c r="Y32" i="8"/>
  <c r="L34" i="12"/>
  <c r="Q34" i="12" s="1"/>
  <c r="L34" i="13"/>
  <c r="Q34" i="13" s="1"/>
  <c r="Q34" i="11"/>
  <c r="AB34" i="11" s="1"/>
  <c r="L11" i="12"/>
  <c r="Q11" i="12" s="1"/>
  <c r="L11" i="13"/>
  <c r="Q11" i="13" s="1"/>
  <c r="Q11" i="11"/>
  <c r="AB11" i="11" s="1"/>
  <c r="L18" i="12"/>
  <c r="Q18" i="12" s="1"/>
  <c r="L18" i="13"/>
  <c r="Q18" i="13" s="1"/>
  <c r="Q18" i="11"/>
  <c r="AB18" i="11" s="1"/>
  <c r="L35" i="12"/>
  <c r="Q35" i="12" s="1"/>
  <c r="L35" i="13"/>
  <c r="Q35" i="13" s="1"/>
  <c r="Q35" i="11"/>
  <c r="AB35" i="11" s="1"/>
  <c r="L41" i="12"/>
  <c r="Q41" i="12" s="1"/>
  <c r="L41" i="13"/>
  <c r="Q41" i="13" s="1"/>
  <c r="Q41" i="11"/>
  <c r="AB41" i="11" s="1"/>
  <c r="L14" i="12"/>
  <c r="Q14" i="12" s="1"/>
  <c r="L14" i="13"/>
  <c r="Q14" i="13" s="1"/>
  <c r="Q14" i="11"/>
  <c r="AB14" i="11" s="1"/>
  <c r="L40" i="12"/>
  <c r="Q40" i="12" s="1"/>
  <c r="L40" i="13"/>
  <c r="Q40" i="13" s="1"/>
  <c r="Q40" i="11"/>
  <c r="AB40" i="11" s="1"/>
  <c r="L38" i="12"/>
  <c r="Q38" i="12" s="1"/>
  <c r="L38" i="13"/>
  <c r="Q38" i="13" s="1"/>
  <c r="Q38" i="11"/>
  <c r="AB38" i="11" s="1"/>
  <c r="L5" i="12"/>
  <c r="L5" i="13"/>
  <c r="Q5" i="13" s="1"/>
  <c r="L43" i="11"/>
  <c r="Q5" i="11"/>
  <c r="L9" i="12"/>
  <c r="Q9" i="12" s="1"/>
  <c r="L9" i="13"/>
  <c r="Q9" i="11"/>
  <c r="AB9" i="11" s="1"/>
  <c r="AB53" i="7"/>
  <c r="Y21" i="8"/>
  <c r="Y24" i="8"/>
  <c r="Y11" i="8"/>
  <c r="Y18" i="8"/>
  <c r="M53" i="8"/>
  <c r="S53" i="8"/>
  <c r="Y27" i="8"/>
  <c r="Y30" i="8"/>
  <c r="AM58" i="6"/>
  <c r="AM56" i="9"/>
  <c r="AM56" i="8"/>
  <c r="AM56" i="7"/>
  <c r="T58" i="6"/>
  <c r="T56" i="9"/>
  <c r="T56" i="8"/>
  <c r="T56" i="7"/>
  <c r="R53" i="8"/>
  <c r="S58" i="8" s="1"/>
  <c r="L39" i="12"/>
  <c r="Q39" i="12" s="1"/>
  <c r="L39" i="13"/>
  <c r="Q39" i="13" s="1"/>
  <c r="Q39" i="11"/>
  <c r="AB39" i="11" s="1"/>
  <c r="L29" i="12"/>
  <c r="Q29" i="12" s="1"/>
  <c r="L29" i="13"/>
  <c r="Q29" i="13" s="1"/>
  <c r="Q29" i="11"/>
  <c r="AB29" i="11" s="1"/>
  <c r="L19" i="12"/>
  <c r="Q19" i="12" s="1"/>
  <c r="L19" i="13"/>
  <c r="Q19" i="13" s="1"/>
  <c r="Q19" i="11"/>
  <c r="AB19" i="11" s="1"/>
  <c r="L25" i="12"/>
  <c r="Q25" i="12" s="1"/>
  <c r="L25" i="13"/>
  <c r="Q25" i="13" s="1"/>
  <c r="Q25" i="11"/>
  <c r="AB25" i="11" s="1"/>
  <c r="L26" i="12"/>
  <c r="Q26" i="12" s="1"/>
  <c r="L26" i="13"/>
  <c r="Q26" i="13" s="1"/>
  <c r="Q26" i="11"/>
  <c r="AB26" i="11" s="1"/>
  <c r="L20" i="12"/>
  <c r="Q20" i="12" s="1"/>
  <c r="L20" i="13"/>
  <c r="Q20" i="13" s="1"/>
  <c r="Q20" i="11"/>
  <c r="AB20" i="11" s="1"/>
  <c r="L22" i="12"/>
  <c r="Q22" i="12" s="1"/>
  <c r="L22" i="13"/>
  <c r="Q22" i="13" s="1"/>
  <c r="Q22" i="11"/>
  <c r="AB22" i="11" s="1"/>
  <c r="L6" i="12"/>
  <c r="Q6" i="12" s="1"/>
  <c r="L6" i="13"/>
  <c r="Q6" i="13" s="1"/>
  <c r="Q6" i="11"/>
  <c r="AB6" i="11" s="1"/>
  <c r="L10" i="12"/>
  <c r="Q10" i="12" s="1"/>
  <c r="Q10" i="11"/>
  <c r="AB10" i="11" s="1"/>
  <c r="L10" i="13"/>
  <c r="Q10" i="13" s="1"/>
  <c r="Y53" i="9"/>
  <c r="AB5" i="9"/>
  <c r="AB53" i="9" s="1"/>
  <c r="Y6" i="8"/>
  <c r="Y42" i="8"/>
  <c r="Y29" i="8"/>
  <c r="Y50" i="8"/>
  <c r="Y38" i="8"/>
  <c r="Y31" i="8"/>
  <c r="Y51" i="8"/>
  <c r="Q45" i="13"/>
  <c r="Q45" i="12"/>
  <c r="Q45" i="11"/>
  <c r="Q45" i="10"/>
  <c r="V53" i="8"/>
  <c r="Y12" i="8"/>
  <c r="Y13" i="8"/>
  <c r="T57" i="6"/>
  <c r="T55" i="9"/>
  <c r="T55" i="8"/>
  <c r="T55" i="7"/>
  <c r="L16" i="12"/>
  <c r="Q16" i="12" s="1"/>
  <c r="L16" i="13"/>
  <c r="Q16" i="13" s="1"/>
  <c r="Q16" i="11"/>
  <c r="AB16" i="11" s="1"/>
  <c r="L28" i="12"/>
  <c r="Q28" i="12" s="1"/>
  <c r="L28" i="13"/>
  <c r="Q28" i="13" s="1"/>
  <c r="Q28" i="11"/>
  <c r="AB28" i="11" s="1"/>
  <c r="L13" i="12"/>
  <c r="Q13" i="12" s="1"/>
  <c r="L13" i="13"/>
  <c r="Q13" i="13" s="1"/>
  <c r="Q13" i="11"/>
  <c r="AB13" i="11" s="1"/>
  <c r="L31" i="12"/>
  <c r="Q31" i="12" s="1"/>
  <c r="L31" i="13"/>
  <c r="Q31" i="13" s="1"/>
  <c r="Q31" i="11"/>
  <c r="AB31" i="11" s="1"/>
  <c r="L21" i="12"/>
  <c r="Q21" i="12" s="1"/>
  <c r="L21" i="13"/>
  <c r="Q21" i="13" s="1"/>
  <c r="Q21" i="11"/>
  <c r="AB21" i="11" s="1"/>
  <c r="L27" i="12"/>
  <c r="Q27" i="12" s="1"/>
  <c r="L27" i="13"/>
  <c r="Q27" i="13" s="1"/>
  <c r="Q27" i="11"/>
  <c r="AB27" i="11" s="1"/>
  <c r="L17" i="12"/>
  <c r="Q17" i="12" s="1"/>
  <c r="L17" i="13"/>
  <c r="Q17" i="13" s="1"/>
  <c r="Q17" i="11"/>
  <c r="AB17" i="11" s="1"/>
  <c r="L8" i="12"/>
  <c r="Q8" i="12" s="1"/>
  <c r="L8" i="13"/>
  <c r="Q8" i="13" s="1"/>
  <c r="Q8" i="11"/>
  <c r="AB8" i="11" s="1"/>
  <c r="AM56" i="6"/>
  <c r="AM54" i="9"/>
  <c r="AM54" i="7"/>
  <c r="AM54" i="8" s="1"/>
  <c r="L32" i="12"/>
  <c r="Q32" i="12" s="1"/>
  <c r="L32" i="13"/>
  <c r="Q32" i="13" s="1"/>
  <c r="Q32" i="11"/>
  <c r="AB32" i="11" s="1"/>
  <c r="L23" i="12"/>
  <c r="Q23" i="12" s="1"/>
  <c r="L23" i="13"/>
  <c r="Q23" i="13" s="1"/>
  <c r="Q23" i="11"/>
  <c r="AB23" i="11" s="1"/>
  <c r="L12" i="12"/>
  <c r="Q12" i="12" s="1"/>
  <c r="L12" i="13"/>
  <c r="Q12" i="13" s="1"/>
  <c r="Q12" i="11"/>
  <c r="AB12" i="11" s="1"/>
  <c r="L30" i="12"/>
  <c r="Q30" i="12" s="1"/>
  <c r="L30" i="13"/>
  <c r="Q30" i="13" s="1"/>
  <c r="Q30" i="11"/>
  <c r="AB30" i="11" s="1"/>
  <c r="L24" i="12"/>
  <c r="Q24" i="12" s="1"/>
  <c r="L24" i="13"/>
  <c r="Q24" i="13" s="1"/>
  <c r="Q24" i="11"/>
  <c r="AB24" i="11" s="1"/>
  <c r="L37" i="12"/>
  <c r="Q37" i="12" s="1"/>
  <c r="L37" i="13"/>
  <c r="Q37" i="13" s="1"/>
  <c r="Q37" i="11"/>
  <c r="AB37" i="11" s="1"/>
  <c r="L36" i="12"/>
  <c r="Q36" i="12" s="1"/>
  <c r="L36" i="13"/>
  <c r="Q36" i="13" s="1"/>
  <c r="Q36" i="11"/>
  <c r="AB36" i="11" s="1"/>
  <c r="L33" i="12"/>
  <c r="Q33" i="12" s="1"/>
  <c r="L33" i="13"/>
  <c r="Q33" i="13" s="1"/>
  <c r="Q33" i="11"/>
  <c r="AB33" i="11" s="1"/>
  <c r="L7" i="12"/>
  <c r="Q7" i="12" s="1"/>
  <c r="L7" i="13"/>
  <c r="Q7" i="13" s="1"/>
  <c r="Q7" i="11"/>
  <c r="AB7" i="11" s="1"/>
  <c r="L15" i="12"/>
  <c r="Q15" i="12" s="1"/>
  <c r="L15" i="13"/>
  <c r="Q15" i="13" s="1"/>
  <c r="Q15" i="11"/>
  <c r="AB15" i="11" s="1"/>
  <c r="Y28" i="8"/>
  <c r="W43" i="12"/>
  <c r="F46" i="5"/>
  <c r="Q46" i="13"/>
  <c r="Q46" i="12"/>
  <c r="Q46" i="11"/>
  <c r="Q46" i="10"/>
  <c r="Y17" i="8"/>
  <c r="Y16" i="8"/>
  <c r="Y33" i="8"/>
  <c r="Y47" i="8"/>
  <c r="Y23" i="8"/>
  <c r="W43" i="13"/>
  <c r="AB20" i="8"/>
  <c r="Y44" i="8"/>
  <c r="Y48" i="8"/>
  <c r="Y41" i="8"/>
  <c r="Y45" i="8"/>
  <c r="Y8" i="8"/>
  <c r="Y15" i="8"/>
  <c r="Y22" i="8"/>
  <c r="F47" i="5"/>
  <c r="L5" i="24" l="1"/>
  <c r="L47" i="24" s="1"/>
  <c r="AB36" i="8"/>
  <c r="Q15" i="25"/>
  <c r="L7" i="24"/>
  <c r="L49" i="24" s="1"/>
  <c r="L24" i="24"/>
  <c r="L66" i="24" s="1"/>
  <c r="L32" i="24"/>
  <c r="L74" i="24" s="1"/>
  <c r="L20" i="24"/>
  <c r="L62" i="24" s="1"/>
  <c r="L39" i="24"/>
  <c r="L81" i="24" s="1"/>
  <c r="L38" i="24"/>
  <c r="L80" i="24" s="1"/>
  <c r="L35" i="24"/>
  <c r="L77" i="24" s="1"/>
  <c r="L21" i="24"/>
  <c r="L63" i="24" s="1"/>
  <c r="L34" i="24"/>
  <c r="L76" i="24" s="1"/>
  <c r="L33" i="24"/>
  <c r="L75" i="24" s="1"/>
  <c r="L30" i="24"/>
  <c r="L72" i="24" s="1"/>
  <c r="L10" i="24"/>
  <c r="L52" i="24" s="1"/>
  <c r="L26" i="24"/>
  <c r="L68" i="24" s="1"/>
  <c r="H15" i="25"/>
  <c r="H14" i="25"/>
  <c r="L40" i="24"/>
  <c r="L82" i="24" s="1"/>
  <c r="L18" i="24"/>
  <c r="L60" i="24" s="1"/>
  <c r="L8" i="24"/>
  <c r="L50" i="24" s="1"/>
  <c r="L31" i="24"/>
  <c r="L73" i="24" s="1"/>
  <c r="L16" i="24"/>
  <c r="L58" i="24" s="1"/>
  <c r="D15" i="26"/>
  <c r="D14" i="26"/>
  <c r="L36" i="24"/>
  <c r="L78" i="24" s="1"/>
  <c r="L12" i="24"/>
  <c r="L54" i="24" s="1"/>
  <c r="L6" i="24"/>
  <c r="L48" i="24" s="1"/>
  <c r="B9" i="26" s="1"/>
  <c r="L25" i="24"/>
  <c r="L67" i="24" s="1"/>
  <c r="L19" i="24"/>
  <c r="L61" i="24" s="1"/>
  <c r="L9" i="24"/>
  <c r="L51" i="24" s="1"/>
  <c r="L14" i="24"/>
  <c r="L56" i="24" s="1"/>
  <c r="L11" i="24"/>
  <c r="L53" i="24" s="1"/>
  <c r="L17" i="24"/>
  <c r="L59" i="24" s="1"/>
  <c r="L13" i="24"/>
  <c r="L55" i="24" s="1"/>
  <c r="L15" i="24"/>
  <c r="L57" i="24" s="1"/>
  <c r="L37" i="24"/>
  <c r="L79" i="24" s="1"/>
  <c r="L23" i="24"/>
  <c r="L65" i="24" s="1"/>
  <c r="L22" i="24"/>
  <c r="L64" i="24" s="1"/>
  <c r="L29" i="24"/>
  <c r="L71" i="24" s="1"/>
  <c r="G15" i="26"/>
  <c r="G14" i="26"/>
  <c r="L41" i="24"/>
  <c r="L83" i="24" s="1"/>
  <c r="L27" i="24"/>
  <c r="L69" i="24" s="1"/>
  <c r="L28" i="24"/>
  <c r="L70" i="24" s="1"/>
  <c r="AB40" i="8"/>
  <c r="AB49" i="8"/>
  <c r="AB5" i="8"/>
  <c r="AB24" i="8"/>
  <c r="X24" i="23"/>
  <c r="X76" i="23" s="1"/>
  <c r="AB7" i="8"/>
  <c r="X7" i="23"/>
  <c r="X59" i="23" s="1"/>
  <c r="AB14" i="8"/>
  <c r="X14" i="23"/>
  <c r="X66" i="23" s="1"/>
  <c r="AB45" i="8"/>
  <c r="X45" i="23"/>
  <c r="X97" i="23" s="1"/>
  <c r="AB30" i="8"/>
  <c r="X30" i="23"/>
  <c r="X82" i="23" s="1"/>
  <c r="AB46" i="8"/>
  <c r="X46" i="23"/>
  <c r="X98" i="23" s="1"/>
  <c r="C15" i="25"/>
  <c r="C14" i="25"/>
  <c r="AB8" i="8"/>
  <c r="X8" i="23"/>
  <c r="X60" i="23" s="1"/>
  <c r="AB44" i="8"/>
  <c r="X44" i="23"/>
  <c r="X96" i="23" s="1"/>
  <c r="AB47" i="8"/>
  <c r="X47" i="23"/>
  <c r="X99" i="23" s="1"/>
  <c r="AB13" i="8"/>
  <c r="X13" i="23"/>
  <c r="X65" i="23" s="1"/>
  <c r="AB51" i="8"/>
  <c r="X51" i="23"/>
  <c r="X103" i="23" s="1"/>
  <c r="AB29" i="8"/>
  <c r="X29" i="23"/>
  <c r="X81" i="23" s="1"/>
  <c r="AB12" i="8"/>
  <c r="X12" i="23"/>
  <c r="X64" i="23" s="1"/>
  <c r="AB31" i="8"/>
  <c r="X31" i="23"/>
  <c r="X83" i="23" s="1"/>
  <c r="AB42" i="8"/>
  <c r="X42" i="23"/>
  <c r="X94" i="23" s="1"/>
  <c r="AB18" i="8"/>
  <c r="X18" i="23"/>
  <c r="X70" i="23" s="1"/>
  <c r="AB21" i="8"/>
  <c r="X21" i="23"/>
  <c r="X73" i="23" s="1"/>
  <c r="AB19" i="8"/>
  <c r="X19" i="23"/>
  <c r="X71" i="23" s="1"/>
  <c r="AB9" i="8"/>
  <c r="X9" i="23"/>
  <c r="X61" i="23" s="1"/>
  <c r="AB22" i="8"/>
  <c r="X22" i="23"/>
  <c r="X74" i="23" s="1"/>
  <c r="AB41" i="8"/>
  <c r="X41" i="23"/>
  <c r="X93" i="23" s="1"/>
  <c r="AB16" i="8"/>
  <c r="X16" i="23"/>
  <c r="X68" i="23" s="1"/>
  <c r="AB28" i="8"/>
  <c r="X28" i="23"/>
  <c r="X80" i="23" s="1"/>
  <c r="AB38" i="8"/>
  <c r="X38" i="23"/>
  <c r="X90" i="23" s="1"/>
  <c r="AB6" i="8"/>
  <c r="X6" i="23"/>
  <c r="X58" i="23" s="1"/>
  <c r="AB27" i="8"/>
  <c r="X27" i="23"/>
  <c r="X79" i="23" s="1"/>
  <c r="AB11" i="8"/>
  <c r="X11" i="23"/>
  <c r="X63" i="23" s="1"/>
  <c r="AB32" i="8"/>
  <c r="X32" i="23"/>
  <c r="X84" i="23" s="1"/>
  <c r="AB26" i="8"/>
  <c r="X26" i="23"/>
  <c r="X78" i="23" s="1"/>
  <c r="AB34" i="8"/>
  <c r="X34" i="23"/>
  <c r="X86" i="23" s="1"/>
  <c r="AB43" i="8"/>
  <c r="X43" i="23"/>
  <c r="X95" i="23" s="1"/>
  <c r="K15" i="25"/>
  <c r="K14" i="25"/>
  <c r="AB25" i="8"/>
  <c r="X25" i="23"/>
  <c r="X77" i="23" s="1"/>
  <c r="AB33" i="8"/>
  <c r="X33" i="23"/>
  <c r="X85" i="23" s="1"/>
  <c r="AB15" i="8"/>
  <c r="X15" i="23"/>
  <c r="X67" i="23" s="1"/>
  <c r="AB48" i="8"/>
  <c r="X48" i="23"/>
  <c r="X100" i="23" s="1"/>
  <c r="AB23" i="8"/>
  <c r="X23" i="23"/>
  <c r="X75" i="23" s="1"/>
  <c r="AB17" i="8"/>
  <c r="X17" i="23"/>
  <c r="X69" i="23" s="1"/>
  <c r="AB50" i="8"/>
  <c r="X50" i="23"/>
  <c r="X102" i="23" s="1"/>
  <c r="AB35" i="8"/>
  <c r="AB10" i="8"/>
  <c r="X10" i="23"/>
  <c r="X62" i="23" s="1"/>
  <c r="AB39" i="8"/>
  <c r="X39" i="23"/>
  <c r="X91" i="23" s="1"/>
  <c r="Y53" i="8"/>
  <c r="X15" i="13"/>
  <c r="X37" i="13"/>
  <c r="E43" i="5"/>
  <c r="X45" i="13"/>
  <c r="X45" i="12"/>
  <c r="X45" i="11"/>
  <c r="X48" i="11" s="1"/>
  <c r="X37" i="12" s="1"/>
  <c r="Y37" i="12" s="1"/>
  <c r="AB37" i="12" s="1"/>
  <c r="X45" i="10"/>
  <c r="X36" i="13"/>
  <c r="X33" i="13"/>
  <c r="X30" i="13"/>
  <c r="X21" i="13"/>
  <c r="X16" i="13"/>
  <c r="X6" i="13"/>
  <c r="X25" i="13"/>
  <c r="S32" i="9"/>
  <c r="S32" i="23" s="1"/>
  <c r="S84" i="23" s="1"/>
  <c r="S33" i="9"/>
  <c r="S33" i="23" s="1"/>
  <c r="S85" i="23" s="1"/>
  <c r="S34" i="9"/>
  <c r="S34" i="23" s="1"/>
  <c r="S86" i="23" s="1"/>
  <c r="S35" i="9"/>
  <c r="S35" i="23" s="1"/>
  <c r="S87" i="23" s="1"/>
  <c r="S25" i="9"/>
  <c r="S25" i="23" s="1"/>
  <c r="S77" i="23" s="1"/>
  <c r="S14" i="9"/>
  <c r="S14" i="23" s="1"/>
  <c r="S66" i="23" s="1"/>
  <c r="S24" i="9"/>
  <c r="S24" i="23" s="1"/>
  <c r="S76" i="23" s="1"/>
  <c r="S15" i="9"/>
  <c r="S15" i="23" s="1"/>
  <c r="S67" i="23" s="1"/>
  <c r="S37" i="9"/>
  <c r="S37" i="23" s="1"/>
  <c r="S89" i="23" s="1"/>
  <c r="S39" i="9"/>
  <c r="S39" i="23" s="1"/>
  <c r="S91" i="23" s="1"/>
  <c r="S30" i="9"/>
  <c r="S30" i="23" s="1"/>
  <c r="S82" i="23" s="1"/>
  <c r="S22" i="9"/>
  <c r="S22" i="23" s="1"/>
  <c r="S74" i="23" s="1"/>
  <c r="S16" i="9"/>
  <c r="S16" i="23" s="1"/>
  <c r="S68" i="23" s="1"/>
  <c r="S23" i="9"/>
  <c r="S23" i="23" s="1"/>
  <c r="S75" i="23" s="1"/>
  <c r="S11" i="9"/>
  <c r="S11" i="23" s="1"/>
  <c r="S63" i="23" s="1"/>
  <c r="S27" i="9"/>
  <c r="S27" i="23" s="1"/>
  <c r="S79" i="23" s="1"/>
  <c r="S10" i="9"/>
  <c r="S10" i="23" s="1"/>
  <c r="S62" i="23" s="1"/>
  <c r="S26" i="9"/>
  <c r="S26" i="23" s="1"/>
  <c r="S78" i="23" s="1"/>
  <c r="S31" i="9"/>
  <c r="S31" i="23" s="1"/>
  <c r="S83" i="23" s="1"/>
  <c r="S9" i="9"/>
  <c r="S9" i="23" s="1"/>
  <c r="S61" i="23" s="1"/>
  <c r="S7" i="9"/>
  <c r="S7" i="23" s="1"/>
  <c r="S59" i="23" s="1"/>
  <c r="S41" i="9"/>
  <c r="S41" i="23" s="1"/>
  <c r="S93" i="23" s="1"/>
  <c r="S45" i="9"/>
  <c r="S45" i="23" s="1"/>
  <c r="S97" i="23" s="1"/>
  <c r="S12" i="9"/>
  <c r="S12" i="23" s="1"/>
  <c r="S64" i="23" s="1"/>
  <c r="S28" i="9"/>
  <c r="S28" i="23" s="1"/>
  <c r="S80" i="23" s="1"/>
  <c r="S13" i="9"/>
  <c r="S13" i="23" s="1"/>
  <c r="S65" i="23" s="1"/>
  <c r="S18" i="9"/>
  <c r="S18" i="23" s="1"/>
  <c r="S70" i="23" s="1"/>
  <c r="S42" i="9"/>
  <c r="S42" i="23" s="1"/>
  <c r="S94" i="23" s="1"/>
  <c r="S43" i="9"/>
  <c r="S43" i="23" s="1"/>
  <c r="S95" i="23" s="1"/>
  <c r="S44" i="9"/>
  <c r="S44" i="23" s="1"/>
  <c r="S96" i="23" s="1"/>
  <c r="S46" i="9"/>
  <c r="S46" i="23" s="1"/>
  <c r="S98" i="23" s="1"/>
  <c r="S19" i="9"/>
  <c r="S19" i="23" s="1"/>
  <c r="S71" i="23" s="1"/>
  <c r="S29" i="9"/>
  <c r="S29" i="23" s="1"/>
  <c r="S81" i="23" s="1"/>
  <c r="S36" i="9"/>
  <c r="S36" i="23" s="1"/>
  <c r="S88" i="23" s="1"/>
  <c r="S38" i="9"/>
  <c r="S38" i="23" s="1"/>
  <c r="S90" i="23" s="1"/>
  <c r="S40" i="9"/>
  <c r="S40" i="23" s="1"/>
  <c r="S92" i="23" s="1"/>
  <c r="S17" i="9"/>
  <c r="S17" i="23" s="1"/>
  <c r="S69" i="23" s="1"/>
  <c r="S8" i="9"/>
  <c r="S8" i="23" s="1"/>
  <c r="S60" i="23" s="1"/>
  <c r="S6" i="9"/>
  <c r="S6" i="23" s="1"/>
  <c r="S58" i="23" s="1"/>
  <c r="S47" i="9"/>
  <c r="S47" i="23" s="1"/>
  <c r="S99" i="23" s="1"/>
  <c r="S48" i="9"/>
  <c r="S48" i="23" s="1"/>
  <c r="S100" i="23" s="1"/>
  <c r="S50" i="9"/>
  <c r="S50" i="23" s="1"/>
  <c r="S102" i="23" s="1"/>
  <c r="S5" i="9"/>
  <c r="S5" i="23" s="1"/>
  <c r="S57" i="23" s="1"/>
  <c r="S49" i="9"/>
  <c r="S49" i="23" s="1"/>
  <c r="S101" i="23" s="1"/>
  <c r="S51" i="9"/>
  <c r="S51" i="23" s="1"/>
  <c r="S103" i="23" s="1"/>
  <c r="S20" i="9"/>
  <c r="S20" i="23" s="1"/>
  <c r="S72" i="23" s="1"/>
  <c r="S21" i="9"/>
  <c r="S21" i="23" s="1"/>
  <c r="S73" i="23" s="1"/>
  <c r="AB5" i="11"/>
  <c r="Q43" i="11"/>
  <c r="X38" i="13"/>
  <c r="X35" i="13"/>
  <c r="X7" i="13"/>
  <c r="X24" i="13"/>
  <c r="X32" i="13"/>
  <c r="X27" i="13"/>
  <c r="X28" i="13"/>
  <c r="X26" i="13"/>
  <c r="X39" i="12"/>
  <c r="Y39" i="12" s="1"/>
  <c r="AB39" i="12" s="1"/>
  <c r="X39" i="13"/>
  <c r="X9" i="13"/>
  <c r="X41" i="13"/>
  <c r="X34" i="13"/>
  <c r="AE55" i="9"/>
  <c r="AE55" i="8"/>
  <c r="AO54" i="8" s="1"/>
  <c r="AE55" i="7"/>
  <c r="X23" i="13"/>
  <c r="X17" i="13"/>
  <c r="X13" i="12"/>
  <c r="Y13" i="12" s="1"/>
  <c r="AB13" i="12" s="1"/>
  <c r="X13" i="13"/>
  <c r="X10" i="12"/>
  <c r="Y10" i="12" s="1"/>
  <c r="AB10" i="12" s="1"/>
  <c r="X10" i="13"/>
  <c r="X20" i="13"/>
  <c r="X29" i="13"/>
  <c r="L43" i="13"/>
  <c r="Q9" i="13"/>
  <c r="X14" i="13"/>
  <c r="X11" i="13"/>
  <c r="AB46" i="13"/>
  <c r="AB46" i="12"/>
  <c r="AB46" i="11"/>
  <c r="AB46" i="10"/>
  <c r="X12" i="13"/>
  <c r="X8" i="13"/>
  <c r="X31" i="12"/>
  <c r="Y31" i="12" s="1"/>
  <c r="AB31" i="12" s="1"/>
  <c r="X31" i="13"/>
  <c r="X22" i="12"/>
  <c r="Y22" i="12" s="1"/>
  <c r="AB22" i="12" s="1"/>
  <c r="X22" i="13"/>
  <c r="X19" i="13"/>
  <c r="L43" i="12"/>
  <c r="Q5" i="12"/>
  <c r="X40" i="12"/>
  <c r="Y40" i="12" s="1"/>
  <c r="AB40" i="12" s="1"/>
  <c r="X40" i="13"/>
  <c r="X18" i="12"/>
  <c r="Y18" i="12" s="1"/>
  <c r="AB18" i="12" s="1"/>
  <c r="X18" i="13"/>
  <c r="E23" i="5"/>
  <c r="AE57" i="6"/>
  <c r="E47" i="5"/>
  <c r="X8" i="12" l="1"/>
  <c r="Y8" i="12" s="1"/>
  <c r="AB8" i="12" s="1"/>
  <c r="X32" i="12"/>
  <c r="Y32" i="12" s="1"/>
  <c r="AB32" i="12" s="1"/>
  <c r="X35" i="12"/>
  <c r="Y35" i="12" s="1"/>
  <c r="AB35" i="12" s="1"/>
  <c r="B11" i="26"/>
  <c r="X23" i="12"/>
  <c r="Y23" i="12" s="1"/>
  <c r="AB23" i="12" s="1"/>
  <c r="X28" i="12"/>
  <c r="Y28" i="12" s="1"/>
  <c r="AB28" i="12" s="1"/>
  <c r="X33" i="12"/>
  <c r="Y33" i="12" s="1"/>
  <c r="AB33" i="12" s="1"/>
  <c r="X41" i="12"/>
  <c r="Y41" i="12" s="1"/>
  <c r="AB41" i="12" s="1"/>
  <c r="B7" i="26"/>
  <c r="B13" i="26" s="1"/>
  <c r="X14" i="12"/>
  <c r="Y14" i="12" s="1"/>
  <c r="AB14" i="12" s="1"/>
  <c r="X20" i="12"/>
  <c r="Y20" i="12" s="1"/>
  <c r="AB20" i="12" s="1"/>
  <c r="X7" i="12"/>
  <c r="Y7" i="12" s="1"/>
  <c r="AB7" i="12" s="1"/>
  <c r="X38" i="12"/>
  <c r="Y38" i="12" s="1"/>
  <c r="AB38" i="12" s="1"/>
  <c r="X36" i="12"/>
  <c r="Y36" i="12" s="1"/>
  <c r="AB36" i="12" s="1"/>
  <c r="X19" i="12"/>
  <c r="Y19" i="12" s="1"/>
  <c r="AB19" i="12" s="1"/>
  <c r="X12" i="12"/>
  <c r="Y12" i="12" s="1"/>
  <c r="AB12" i="12" s="1"/>
  <c r="X11" i="12"/>
  <c r="Y11" i="12" s="1"/>
  <c r="AB11" i="12" s="1"/>
  <c r="X29" i="12"/>
  <c r="Y29" i="12" s="1"/>
  <c r="AB29" i="12" s="1"/>
  <c r="X17" i="12"/>
  <c r="Y17" i="12" s="1"/>
  <c r="AB17" i="12" s="1"/>
  <c r="X34" i="12"/>
  <c r="Y34" i="12" s="1"/>
  <c r="AB34" i="12" s="1"/>
  <c r="X9" i="12"/>
  <c r="Y9" i="12" s="1"/>
  <c r="AB9" i="12" s="1"/>
  <c r="X26" i="12"/>
  <c r="Y26" i="12" s="1"/>
  <c r="AB26" i="12" s="1"/>
  <c r="X27" i="12"/>
  <c r="Y27" i="12" s="1"/>
  <c r="AB27" i="12" s="1"/>
  <c r="X24" i="12"/>
  <c r="Y24" i="12" s="1"/>
  <c r="AB24" i="12" s="1"/>
  <c r="X6" i="12"/>
  <c r="Y6" i="12" s="1"/>
  <c r="AB6" i="12" s="1"/>
  <c r="X21" i="12"/>
  <c r="Y21" i="12" s="1"/>
  <c r="AB21" i="12" s="1"/>
  <c r="X15" i="12"/>
  <c r="Y15" i="12" s="1"/>
  <c r="AB15" i="12" s="1"/>
  <c r="I9" i="25"/>
  <c r="I11" i="25"/>
  <c r="I7" i="25"/>
  <c r="I13" i="25" s="1"/>
  <c r="X25" i="12"/>
  <c r="Y25" i="12" s="1"/>
  <c r="AB25" i="12" s="1"/>
  <c r="X16" i="12"/>
  <c r="Y16" i="12" s="1"/>
  <c r="AB16" i="12" s="1"/>
  <c r="X30" i="12"/>
  <c r="Y30" i="12" s="1"/>
  <c r="AB30" i="12" s="1"/>
  <c r="B15" i="26"/>
  <c r="B14" i="26"/>
  <c r="AB53" i="8"/>
  <c r="N11" i="25"/>
  <c r="N7" i="25"/>
  <c r="N13" i="25" s="1"/>
  <c r="N9" i="25"/>
  <c r="Y18" i="13"/>
  <c r="AB18" i="13" s="1"/>
  <c r="U18" i="24"/>
  <c r="U60" i="24" s="1"/>
  <c r="Y12" i="13"/>
  <c r="AB12" i="13" s="1"/>
  <c r="AA181" i="17" s="1"/>
  <c r="U12" i="24"/>
  <c r="U54" i="24" s="1"/>
  <c r="Y40" i="13"/>
  <c r="AB40" i="13" s="1"/>
  <c r="S32" i="28" s="1"/>
  <c r="U40" i="24"/>
  <c r="U82" i="24" s="1"/>
  <c r="Y10" i="13"/>
  <c r="AB10" i="13" s="1"/>
  <c r="S9" i="28" s="1"/>
  <c r="U10" i="24"/>
  <c r="U52" i="24" s="1"/>
  <c r="Y13" i="13"/>
  <c r="AB13" i="13" s="1"/>
  <c r="AA196" i="17" s="1"/>
  <c r="U13" i="24"/>
  <c r="U55" i="24" s="1"/>
  <c r="Y34" i="13"/>
  <c r="AB34" i="13" s="1"/>
  <c r="U34" i="24"/>
  <c r="U76" i="24" s="1"/>
  <c r="Y24" i="13"/>
  <c r="AB24" i="13" s="1"/>
  <c r="S17" i="28" s="1"/>
  <c r="U24" i="24"/>
  <c r="U66" i="24" s="1"/>
  <c r="Y6" i="13"/>
  <c r="AB6" i="13" s="1"/>
  <c r="U6" i="24"/>
  <c r="U48" i="24" s="1"/>
  <c r="Y21" i="13"/>
  <c r="AB21" i="13" s="1"/>
  <c r="S13" i="28" s="1"/>
  <c r="U21" i="24"/>
  <c r="U63" i="24" s="1"/>
  <c r="Y14" i="13"/>
  <c r="AB14" i="13" s="1"/>
  <c r="AA208" i="17" s="1"/>
  <c r="U14" i="24"/>
  <c r="U56" i="24" s="1"/>
  <c r="Y20" i="13"/>
  <c r="AB20" i="13" s="1"/>
  <c r="S12" i="28" s="1"/>
  <c r="U20" i="24"/>
  <c r="U62" i="24" s="1"/>
  <c r="Y23" i="13"/>
  <c r="AB23" i="13" s="1"/>
  <c r="U23" i="24"/>
  <c r="U65" i="24" s="1"/>
  <c r="Y9" i="13"/>
  <c r="AB9" i="13" s="1"/>
  <c r="S7" i="28" s="1"/>
  <c r="Y28" i="13"/>
  <c r="AB28" i="13" s="1"/>
  <c r="S22" i="28" s="1"/>
  <c r="U28" i="24"/>
  <c r="U70" i="24" s="1"/>
  <c r="Y32" i="13"/>
  <c r="AB32" i="13" s="1"/>
  <c r="U32" i="24"/>
  <c r="U74" i="24" s="1"/>
  <c r="Y35" i="13"/>
  <c r="AB35" i="13" s="1"/>
  <c r="S27" i="28" s="1"/>
  <c r="U35" i="24"/>
  <c r="U77" i="24" s="1"/>
  <c r="Y33" i="13"/>
  <c r="AB33" i="13" s="1"/>
  <c r="U33" i="24"/>
  <c r="U75" i="24" s="1"/>
  <c r="Y15" i="13"/>
  <c r="AB15" i="13" s="1"/>
  <c r="S8" i="28" s="1"/>
  <c r="U15" i="24"/>
  <c r="U57" i="24" s="1"/>
  <c r="Y22" i="13"/>
  <c r="AB22" i="13" s="1"/>
  <c r="S14" i="28" s="1"/>
  <c r="U22" i="24"/>
  <c r="U64" i="24" s="1"/>
  <c r="Y31" i="13"/>
  <c r="AB31" i="13" s="1"/>
  <c r="U31" i="24"/>
  <c r="U73" i="24" s="1"/>
  <c r="Y8" i="13"/>
  <c r="AB8" i="13" s="1"/>
  <c r="S6" i="28" s="1"/>
  <c r="U8" i="24"/>
  <c r="U50" i="24" s="1"/>
  <c r="Y11" i="13"/>
  <c r="AB11" i="13" s="1"/>
  <c r="S11" i="28" s="1"/>
  <c r="U11" i="24"/>
  <c r="U53" i="24" s="1"/>
  <c r="Y29" i="13"/>
  <c r="AB29" i="13" s="1"/>
  <c r="S23" i="28" s="1"/>
  <c r="U29" i="24"/>
  <c r="U71" i="24" s="1"/>
  <c r="Y26" i="13"/>
  <c r="AB26" i="13" s="1"/>
  <c r="S19" i="28" s="1"/>
  <c r="U26" i="24"/>
  <c r="U68" i="24" s="1"/>
  <c r="Y25" i="13"/>
  <c r="AB25" i="13" s="1"/>
  <c r="S18" i="28" s="1"/>
  <c r="Y16" i="13"/>
  <c r="AB16" i="13" s="1"/>
  <c r="S10" i="28" s="1"/>
  <c r="U16" i="24"/>
  <c r="U58" i="24" s="1"/>
  <c r="Y30" i="13"/>
  <c r="AB30" i="13" s="1"/>
  <c r="S24" i="28" s="1"/>
  <c r="U30" i="24"/>
  <c r="U72" i="24" s="1"/>
  <c r="Y19" i="13"/>
  <c r="AB19" i="13" s="1"/>
  <c r="U19" i="24"/>
  <c r="U61" i="24" s="1"/>
  <c r="Y17" i="13"/>
  <c r="AB17" i="13" s="1"/>
  <c r="U17" i="24"/>
  <c r="U59" i="24" s="1"/>
  <c r="Y41" i="13"/>
  <c r="AB41" i="13" s="1"/>
  <c r="S33" i="28" s="1"/>
  <c r="U41" i="24"/>
  <c r="U83" i="24" s="1"/>
  <c r="Y39" i="13"/>
  <c r="AB39" i="13" s="1"/>
  <c r="S30" i="28" s="1"/>
  <c r="U39" i="24"/>
  <c r="U81" i="24" s="1"/>
  <c r="Y27" i="13"/>
  <c r="AB27" i="13" s="1"/>
  <c r="U27" i="24"/>
  <c r="U69" i="24" s="1"/>
  <c r="Y7" i="13"/>
  <c r="AB7" i="13" s="1"/>
  <c r="S5" i="28" s="1"/>
  <c r="U7" i="24"/>
  <c r="U49" i="24" s="1"/>
  <c r="Y38" i="13"/>
  <c r="AB38" i="13" s="1"/>
  <c r="S31" i="28" s="1"/>
  <c r="U38" i="24"/>
  <c r="U80" i="24" s="1"/>
  <c r="Y36" i="13"/>
  <c r="AB36" i="13" s="1"/>
  <c r="S28" i="28" s="1"/>
  <c r="U36" i="24"/>
  <c r="U78" i="24" s="1"/>
  <c r="Y37" i="13"/>
  <c r="AB37" i="13" s="1"/>
  <c r="S29" i="28" s="1"/>
  <c r="U37" i="24"/>
  <c r="U79" i="24" s="1"/>
  <c r="AA282" i="16"/>
  <c r="AG282" i="16" s="1"/>
  <c r="AA387" i="16"/>
  <c r="AG387" i="16" s="1"/>
  <c r="Q43" i="12"/>
  <c r="AG57" i="6"/>
  <c r="AG55" i="9"/>
  <c r="AG55" i="8"/>
  <c r="AG55" i="7"/>
  <c r="Q43" i="13"/>
  <c r="AB43" i="11"/>
  <c r="X5" i="12"/>
  <c r="X5" i="13"/>
  <c r="S53" i="9"/>
  <c r="E46" i="5"/>
  <c r="Y45" i="13"/>
  <c r="Y45" i="12"/>
  <c r="Y45" i="11"/>
  <c r="Y45" i="10"/>
  <c r="E29" i="5"/>
  <c r="AA189" i="17" l="1"/>
  <c r="AA494" i="16"/>
  <c r="AA492" i="16"/>
  <c r="AG492" i="16" s="1"/>
  <c r="AA487" i="16"/>
  <c r="L487" i="21" s="1"/>
  <c r="O487" i="21" s="1"/>
  <c r="AA485" i="16"/>
  <c r="AA311" i="16"/>
  <c r="AG311" i="16" s="1"/>
  <c r="AA197" i="17"/>
  <c r="S20" i="28"/>
  <c r="S25" i="28"/>
  <c r="S15" i="28"/>
  <c r="AA489" i="16"/>
  <c r="L489" i="21" s="1"/>
  <c r="O489" i="21" s="1"/>
  <c r="AA317" i="16"/>
  <c r="AG317" i="16" s="1"/>
  <c r="S26" i="28"/>
  <c r="S21" i="28"/>
  <c r="S16" i="28"/>
  <c r="AA130" i="16"/>
  <c r="AG130" i="16" s="1"/>
  <c r="G11" i="28"/>
  <c r="G6" i="28"/>
  <c r="AA495" i="16"/>
  <c r="AG495" i="16" s="1"/>
  <c r="AA490" i="16"/>
  <c r="AG490" i="16" s="1"/>
  <c r="AA488" i="16"/>
  <c r="AA493" i="16"/>
  <c r="AA185" i="17"/>
  <c r="AA394" i="16"/>
  <c r="AG394" i="16" s="1"/>
  <c r="AA459" i="16"/>
  <c r="AA396" i="16"/>
  <c r="AA397" i="16"/>
  <c r="L397" i="21" s="1"/>
  <c r="O397" i="21" s="1"/>
  <c r="AA448" i="16"/>
  <c r="AG448" i="16" s="1"/>
  <c r="AA395" i="16"/>
  <c r="AA430" i="16"/>
  <c r="AA419" i="16"/>
  <c r="AG419" i="16" s="1"/>
  <c r="AA403" i="16"/>
  <c r="L403" i="21" s="1"/>
  <c r="O403" i="21" s="1"/>
  <c r="AA400" i="16"/>
  <c r="AA401" i="16"/>
  <c r="AA402" i="16"/>
  <c r="AG402" i="16" s="1"/>
  <c r="AA434" i="16"/>
  <c r="AG434" i="16" s="1"/>
  <c r="AA423" i="16"/>
  <c r="AA467" i="16"/>
  <c r="AA452" i="16"/>
  <c r="L452" i="21" s="1"/>
  <c r="O452" i="21" s="1"/>
  <c r="AA502" i="16"/>
  <c r="AG502" i="16" s="1"/>
  <c r="AA421" i="16"/>
  <c r="AA416" i="16"/>
  <c r="AA417" i="16"/>
  <c r="L417" i="21" s="1"/>
  <c r="O417" i="21" s="1"/>
  <c r="AA418" i="16"/>
  <c r="AG418" i="16" s="1"/>
  <c r="AA450" i="16"/>
  <c r="AA439" i="16"/>
  <c r="AA428" i="16"/>
  <c r="AG428" i="16" s="1"/>
  <c r="AA468" i="16"/>
  <c r="AG468" i="16" s="1"/>
  <c r="AA504" i="16"/>
  <c r="U5" i="24"/>
  <c r="U47" i="24" s="1"/>
  <c r="AA437" i="16"/>
  <c r="AG437" i="16" s="1"/>
  <c r="AA441" i="16"/>
  <c r="AG441" i="16" s="1"/>
  <c r="AA429" i="16"/>
  <c r="AA433" i="16"/>
  <c r="AA458" i="16"/>
  <c r="AG458" i="16" s="1"/>
  <c r="AA443" i="16"/>
  <c r="AG443" i="16" s="1"/>
  <c r="AA432" i="16"/>
  <c r="AA465" i="16"/>
  <c r="AA42" i="16"/>
  <c r="L42" i="21" s="1"/>
  <c r="O42" i="21" s="1"/>
  <c r="AA378" i="16"/>
  <c r="AG378" i="16" s="1"/>
  <c r="AA205" i="17"/>
  <c r="AA276" i="16"/>
  <c r="AG276" i="16" s="1"/>
  <c r="AA407" i="16"/>
  <c r="L407" i="21" s="1"/>
  <c r="O407" i="21" s="1"/>
  <c r="AA453" i="16"/>
  <c r="AG453" i="16" s="1"/>
  <c r="AA457" i="16"/>
  <c r="AA405" i="16"/>
  <c r="AG405" i="16" s="1"/>
  <c r="AA406" i="16"/>
  <c r="L406" i="21" s="1"/>
  <c r="O406" i="21" s="1"/>
  <c r="AA449" i="16"/>
  <c r="AG449" i="16" s="1"/>
  <c r="AA462" i="16"/>
  <c r="AA427" i="16"/>
  <c r="AG427" i="16" s="1"/>
  <c r="AA451" i="16"/>
  <c r="AG451" i="16" s="1"/>
  <c r="AA436" i="16"/>
  <c r="AG436" i="16" s="1"/>
  <c r="AA460" i="16"/>
  <c r="AA469" i="16"/>
  <c r="AG469" i="16" s="1"/>
  <c r="AA499" i="16"/>
  <c r="AG499" i="16" s="1"/>
  <c r="AA160" i="17"/>
  <c r="AA391" i="16"/>
  <c r="AA411" i="16"/>
  <c r="L411" i="21" s="1"/>
  <c r="O411" i="21" s="1"/>
  <c r="AA392" i="16"/>
  <c r="AG392" i="16" s="1"/>
  <c r="AA412" i="16"/>
  <c r="L412" i="21" s="1"/>
  <c r="O412" i="21" s="1"/>
  <c r="AA389" i="16"/>
  <c r="AA413" i="16"/>
  <c r="AG413" i="16" s="1"/>
  <c r="AA390" i="16"/>
  <c r="AG390" i="16" s="1"/>
  <c r="AA410" i="16"/>
  <c r="AG410" i="16" s="1"/>
  <c r="AA426" i="16"/>
  <c r="AA446" i="16"/>
  <c r="AG446" i="16" s="1"/>
  <c r="AA466" i="16"/>
  <c r="L466" i="21" s="1"/>
  <c r="O466" i="21" s="1"/>
  <c r="AA435" i="16"/>
  <c r="AG435" i="16" s="1"/>
  <c r="AA455" i="16"/>
  <c r="AA420" i="16"/>
  <c r="AG420" i="16" s="1"/>
  <c r="AA444" i="16"/>
  <c r="L444" i="21" s="1"/>
  <c r="O444" i="21" s="1"/>
  <c r="AA464" i="16"/>
  <c r="AG464" i="16" s="1"/>
  <c r="AA486" i="16"/>
  <c r="AA491" i="16"/>
  <c r="AG491" i="16" s="1"/>
  <c r="AA496" i="16"/>
  <c r="AG496" i="16" s="1"/>
  <c r="AA503" i="16"/>
  <c r="L503" i="21" s="1"/>
  <c r="O503" i="21" s="1"/>
  <c r="AA497" i="16"/>
  <c r="AA312" i="16"/>
  <c r="AG312" i="16" s="1"/>
  <c r="AA193" i="17"/>
  <c r="AA215" i="16"/>
  <c r="AG215" i="16" s="1"/>
  <c r="AA498" i="16"/>
  <c r="AG498" i="16" s="1"/>
  <c r="AA507" i="16"/>
  <c r="AA505" i="16"/>
  <c r="AG505" i="16" s="1"/>
  <c r="AA408" i="16"/>
  <c r="AG408" i="16" s="1"/>
  <c r="AA461" i="16"/>
  <c r="AG461" i="16" s="1"/>
  <c r="AA442" i="16"/>
  <c r="AA471" i="16"/>
  <c r="L471" i="21" s="1"/>
  <c r="O471" i="21" s="1"/>
  <c r="AA508" i="16"/>
  <c r="AG508" i="16" s="1"/>
  <c r="AA175" i="16"/>
  <c r="AG175" i="16" s="1"/>
  <c r="AA273" i="16"/>
  <c r="AA320" i="16"/>
  <c r="L326" i="21" s="1"/>
  <c r="AA84" i="17"/>
  <c r="AA349" i="16"/>
  <c r="AG349" i="16" s="1"/>
  <c r="AA234" i="17"/>
  <c r="AA168" i="17"/>
  <c r="AA296" i="16"/>
  <c r="AG296" i="16" s="1"/>
  <c r="AA76" i="17"/>
  <c r="AA360" i="16"/>
  <c r="AG360" i="16" s="1"/>
  <c r="AA218" i="17"/>
  <c r="AA302" i="16"/>
  <c r="AG302" i="16" s="1"/>
  <c r="AA168" i="16"/>
  <c r="AG168" i="16" s="1"/>
  <c r="AA274" i="16"/>
  <c r="AA399" i="16"/>
  <c r="AG399" i="16" s="1"/>
  <c r="AA415" i="16"/>
  <c r="AG415" i="16" s="1"/>
  <c r="AA388" i="16"/>
  <c r="AG388" i="16" s="1"/>
  <c r="AA404" i="16"/>
  <c r="AA425" i="16"/>
  <c r="AG425" i="16" s="1"/>
  <c r="AA393" i="16"/>
  <c r="L393" i="21" s="1"/>
  <c r="O393" i="21" s="1"/>
  <c r="AA409" i="16"/>
  <c r="L409" i="21" s="1"/>
  <c r="O409" i="21" s="1"/>
  <c r="AA445" i="16"/>
  <c r="AA398" i="16"/>
  <c r="AG398" i="16" s="1"/>
  <c r="AA414" i="16"/>
  <c r="AG414" i="16" s="1"/>
  <c r="AA422" i="16"/>
  <c r="L422" i="21" s="1"/>
  <c r="O422" i="21" s="1"/>
  <c r="AA438" i="16"/>
  <c r="AA454" i="16"/>
  <c r="L454" i="21" s="1"/>
  <c r="O454" i="21" s="1"/>
  <c r="AA470" i="16"/>
  <c r="AG470" i="16" s="1"/>
  <c r="AA431" i="16"/>
  <c r="AG431" i="16" s="1"/>
  <c r="AA447" i="16"/>
  <c r="AA463" i="16"/>
  <c r="L463" i="21" s="1"/>
  <c r="O463" i="21" s="1"/>
  <c r="AA424" i="16"/>
  <c r="L424" i="21" s="1"/>
  <c r="O424" i="21" s="1"/>
  <c r="AA440" i="16"/>
  <c r="L440" i="21" s="1"/>
  <c r="O440" i="21" s="1"/>
  <c r="AA456" i="16"/>
  <c r="AA472" i="16"/>
  <c r="L481" i="21" s="1"/>
  <c r="AA330" i="16"/>
  <c r="AG330" i="16" s="1"/>
  <c r="AA506" i="16"/>
  <c r="AG506" i="16" s="1"/>
  <c r="AA500" i="16"/>
  <c r="AA501" i="16"/>
  <c r="L501" i="21" s="1"/>
  <c r="O501" i="21" s="1"/>
  <c r="AA178" i="17"/>
  <c r="AA133" i="16"/>
  <c r="AG133" i="16" s="1"/>
  <c r="AA275" i="16"/>
  <c r="AA355" i="16"/>
  <c r="AG355" i="16" s="1"/>
  <c r="AA338" i="16"/>
  <c r="AG338" i="16" s="1"/>
  <c r="AA255" i="17"/>
  <c r="AA281" i="16"/>
  <c r="AG281" i="16" s="1"/>
  <c r="AA89" i="17"/>
  <c r="AA324" i="16"/>
  <c r="AG324" i="16" s="1"/>
  <c r="AA198" i="17"/>
  <c r="AA206" i="17"/>
  <c r="AA300" i="16"/>
  <c r="AG300" i="16" s="1"/>
  <c r="AA306" i="16"/>
  <c r="AG306" i="16" s="1"/>
  <c r="AA179" i="17"/>
  <c r="AA46" i="16"/>
  <c r="AA39" i="16"/>
  <c r="L39" i="21" s="1"/>
  <c r="O39" i="21" s="1"/>
  <c r="AA172" i="16"/>
  <c r="AG172" i="16" s="1"/>
  <c r="AA137" i="16"/>
  <c r="AG137" i="16" s="1"/>
  <c r="AA134" i="16"/>
  <c r="AA77" i="17"/>
  <c r="AA85" i="17"/>
  <c r="AA279" i="16"/>
  <c r="AG279" i="16" s="1"/>
  <c r="AA280" i="16"/>
  <c r="AA277" i="16"/>
  <c r="L277" i="21" s="1"/>
  <c r="O277" i="21" s="1"/>
  <c r="AA278" i="16"/>
  <c r="L278" i="21" s="1"/>
  <c r="O278" i="21" s="1"/>
  <c r="AA359" i="16"/>
  <c r="AG359" i="16" s="1"/>
  <c r="AA332" i="16"/>
  <c r="AG332" i="16" s="1"/>
  <c r="AA368" i="16"/>
  <c r="AG368" i="16" s="1"/>
  <c r="AA353" i="16"/>
  <c r="AG353" i="16" s="1"/>
  <c r="AA342" i="16"/>
  <c r="AG342" i="16" s="1"/>
  <c r="AA386" i="16"/>
  <c r="AG386" i="16" s="1"/>
  <c r="AA219" i="17"/>
  <c r="AA235" i="17"/>
  <c r="AA257" i="17"/>
  <c r="AA268" i="17"/>
  <c r="AA127" i="17"/>
  <c r="AA325" i="16"/>
  <c r="AG325" i="16" s="1"/>
  <c r="AA201" i="17"/>
  <c r="AA209" i="17"/>
  <c r="AA301" i="16"/>
  <c r="AG301" i="16" s="1"/>
  <c r="AA174" i="17"/>
  <c r="AA182" i="17"/>
  <c r="AA135" i="16"/>
  <c r="AA51" i="16"/>
  <c r="L51" i="21" s="1"/>
  <c r="O51" i="21" s="1"/>
  <c r="AA44" i="16"/>
  <c r="AG44" i="16" s="1"/>
  <c r="AA173" i="16"/>
  <c r="AG173" i="16" s="1"/>
  <c r="AA170" i="16"/>
  <c r="AG170" i="16" s="1"/>
  <c r="AA80" i="17"/>
  <c r="AA259" i="16"/>
  <c r="AG259" i="16" s="1"/>
  <c r="AA260" i="16"/>
  <c r="AG260" i="16" s="1"/>
  <c r="AA257" i="16"/>
  <c r="AA258" i="16"/>
  <c r="AG258" i="16" s="1"/>
  <c r="AA339" i="16"/>
  <c r="AG339" i="16" s="1"/>
  <c r="AA371" i="16"/>
  <c r="AG371" i="16" s="1"/>
  <c r="AA344" i="16"/>
  <c r="AG344" i="16" s="1"/>
  <c r="AA384" i="16"/>
  <c r="AG384" i="16" s="1"/>
  <c r="AA369" i="16"/>
  <c r="AG369" i="16" s="1"/>
  <c r="AA358" i="16"/>
  <c r="AG358" i="16" s="1"/>
  <c r="AA213" i="17"/>
  <c r="AA225" i="17"/>
  <c r="AA245" i="17"/>
  <c r="AA93" i="17"/>
  <c r="AA224" i="16"/>
  <c r="AG224" i="16" s="1"/>
  <c r="AA323" i="16"/>
  <c r="AG323" i="16" s="1"/>
  <c r="AA329" i="16"/>
  <c r="AG329" i="16" s="1"/>
  <c r="AA202" i="17"/>
  <c r="AA295" i="16"/>
  <c r="AG295" i="16" s="1"/>
  <c r="AA305" i="16"/>
  <c r="AG305" i="16" s="1"/>
  <c r="AA175" i="17"/>
  <c r="AA183" i="17"/>
  <c r="AA139" i="16"/>
  <c r="AA132" i="16"/>
  <c r="AG132" i="16" s="1"/>
  <c r="AA48" i="16"/>
  <c r="AG48" i="16" s="1"/>
  <c r="AA41" i="16"/>
  <c r="AG41" i="16" s="1"/>
  <c r="AA174" i="16"/>
  <c r="AG174" i="16" s="1"/>
  <c r="AA81" i="17"/>
  <c r="AA263" i="16"/>
  <c r="AG263" i="16" s="1"/>
  <c r="AA264" i="16"/>
  <c r="AG264" i="16" s="1"/>
  <c r="AA261" i="16"/>
  <c r="AA262" i="16"/>
  <c r="AG262" i="16" s="1"/>
  <c r="AA343" i="16"/>
  <c r="AG343" i="16" s="1"/>
  <c r="AA375" i="16"/>
  <c r="AG375" i="16" s="1"/>
  <c r="AA348" i="16"/>
  <c r="AG348" i="16" s="1"/>
  <c r="AA333" i="16"/>
  <c r="AG333" i="16" s="1"/>
  <c r="AA377" i="16"/>
  <c r="AG377" i="16" s="1"/>
  <c r="AA362" i="16"/>
  <c r="AG362" i="16" s="1"/>
  <c r="AA214" i="17"/>
  <c r="AA227" i="17"/>
  <c r="AA246" i="17"/>
  <c r="AA130" i="17"/>
  <c r="AA132" i="17"/>
  <c r="AA267" i="17"/>
  <c r="AA327" i="16"/>
  <c r="AG327" i="16" s="1"/>
  <c r="AA328" i="16"/>
  <c r="AG328" i="16" s="1"/>
  <c r="AA322" i="16"/>
  <c r="AG322" i="16" s="1"/>
  <c r="AA199" i="17"/>
  <c r="AA203" i="17"/>
  <c r="AA207" i="17"/>
  <c r="AA299" i="16"/>
  <c r="AG299" i="16" s="1"/>
  <c r="AA304" i="16"/>
  <c r="AG304" i="16" s="1"/>
  <c r="AA294" i="16"/>
  <c r="AG294" i="16" s="1"/>
  <c r="AA172" i="17"/>
  <c r="AA176" i="17"/>
  <c r="AA180" i="17"/>
  <c r="AA184" i="17"/>
  <c r="AA50" i="16"/>
  <c r="AG50" i="16" s="1"/>
  <c r="AA167" i="16"/>
  <c r="AG167" i="16" s="1"/>
  <c r="AA43" i="16"/>
  <c r="L43" i="21" s="1"/>
  <c r="O43" i="21" s="1"/>
  <c r="AA136" i="16"/>
  <c r="AG136" i="16" s="1"/>
  <c r="AA176" i="16"/>
  <c r="AG176" i="16" s="1"/>
  <c r="AA52" i="16"/>
  <c r="AA165" i="16"/>
  <c r="AG165" i="16" s="1"/>
  <c r="AA45" i="16"/>
  <c r="AG45" i="16" s="1"/>
  <c r="AA138" i="16"/>
  <c r="AG138" i="16" s="1"/>
  <c r="AA74" i="17"/>
  <c r="AA78" i="17"/>
  <c r="AA82" i="17"/>
  <c r="AA251" i="16"/>
  <c r="AG251" i="16" s="1"/>
  <c r="AA267" i="16"/>
  <c r="AA252" i="16"/>
  <c r="L252" i="21" s="1"/>
  <c r="O252" i="21" s="1"/>
  <c r="AA268" i="16"/>
  <c r="AG268" i="16" s="1"/>
  <c r="AA249" i="16"/>
  <c r="AG249" i="16" s="1"/>
  <c r="AA265" i="16"/>
  <c r="AA250" i="16"/>
  <c r="AG250" i="16" s="1"/>
  <c r="AA266" i="16"/>
  <c r="AG266" i="16" s="1"/>
  <c r="AA158" i="17"/>
  <c r="AA347" i="16"/>
  <c r="AG347" i="16" s="1"/>
  <c r="AA363" i="16"/>
  <c r="AG363" i="16" s="1"/>
  <c r="AA379" i="16"/>
  <c r="AG379" i="16" s="1"/>
  <c r="AA336" i="16"/>
  <c r="AG336" i="16" s="1"/>
  <c r="AA352" i="16"/>
  <c r="AG352" i="16" s="1"/>
  <c r="AA372" i="16"/>
  <c r="AG372" i="16" s="1"/>
  <c r="AA337" i="16"/>
  <c r="AG337" i="16" s="1"/>
  <c r="AA361" i="16"/>
  <c r="AG361" i="16" s="1"/>
  <c r="AA381" i="16"/>
  <c r="AG381" i="16" s="1"/>
  <c r="AA346" i="16"/>
  <c r="AG346" i="16" s="1"/>
  <c r="AA370" i="16"/>
  <c r="AG370" i="16" s="1"/>
  <c r="AA210" i="17"/>
  <c r="AA215" i="17"/>
  <c r="AA222" i="17"/>
  <c r="AA229" i="17"/>
  <c r="AA239" i="17"/>
  <c r="AA250" i="17"/>
  <c r="AA261" i="17"/>
  <c r="AA129" i="17"/>
  <c r="AA133" i="17"/>
  <c r="AA97" i="17"/>
  <c r="AA331" i="16"/>
  <c r="AG331" i="16" s="1"/>
  <c r="AA321" i="16"/>
  <c r="AG321" i="16" s="1"/>
  <c r="AA326" i="16"/>
  <c r="AG326" i="16" s="1"/>
  <c r="AA200" i="17"/>
  <c r="AA204" i="17"/>
  <c r="AA303" i="16"/>
  <c r="AG303" i="16" s="1"/>
  <c r="AA297" i="16"/>
  <c r="AG297" i="16" s="1"/>
  <c r="AA298" i="16"/>
  <c r="AG298" i="16" s="1"/>
  <c r="AA173" i="17"/>
  <c r="AA177" i="17"/>
  <c r="AA38" i="16"/>
  <c r="L38" i="21" s="1"/>
  <c r="AA131" i="16"/>
  <c r="AA171" i="16"/>
  <c r="AG171" i="16" s="1"/>
  <c r="AA47" i="16"/>
  <c r="AG47" i="16" s="1"/>
  <c r="AA140" i="16"/>
  <c r="AG140" i="16" s="1"/>
  <c r="AA40" i="16"/>
  <c r="AA129" i="16"/>
  <c r="AG129" i="16" s="1"/>
  <c r="AA169" i="16"/>
  <c r="AG169" i="16" s="1"/>
  <c r="AA49" i="16"/>
  <c r="AG49" i="16" s="1"/>
  <c r="AA166" i="16"/>
  <c r="AG166" i="16" s="1"/>
  <c r="AA75" i="17"/>
  <c r="AA79" i="17"/>
  <c r="AA83" i="17"/>
  <c r="AA255" i="16"/>
  <c r="AA271" i="16"/>
  <c r="AG271" i="16" s="1"/>
  <c r="AA256" i="16"/>
  <c r="AG256" i="16" s="1"/>
  <c r="AA272" i="16"/>
  <c r="L272" i="21" s="1"/>
  <c r="O272" i="21" s="1"/>
  <c r="AA253" i="16"/>
  <c r="AA269" i="16"/>
  <c r="AG269" i="16" s="1"/>
  <c r="AA254" i="16"/>
  <c r="AG254" i="16" s="1"/>
  <c r="AA270" i="16"/>
  <c r="L270" i="21" s="1"/>
  <c r="O270" i="21" s="1"/>
  <c r="AA335" i="16"/>
  <c r="AG335" i="16" s="1"/>
  <c r="AA351" i="16"/>
  <c r="AG351" i="16" s="1"/>
  <c r="AA367" i="16"/>
  <c r="AG367" i="16" s="1"/>
  <c r="AA383" i="16"/>
  <c r="AG383" i="16" s="1"/>
  <c r="AA340" i="16"/>
  <c r="AG340" i="16" s="1"/>
  <c r="AA356" i="16"/>
  <c r="AG356" i="16" s="1"/>
  <c r="AA376" i="16"/>
  <c r="AG376" i="16" s="1"/>
  <c r="AA345" i="16"/>
  <c r="AG345" i="16" s="1"/>
  <c r="AA365" i="16"/>
  <c r="AG365" i="16" s="1"/>
  <c r="AA385" i="16"/>
  <c r="AG385" i="16" s="1"/>
  <c r="AA354" i="16"/>
  <c r="AG354" i="16" s="1"/>
  <c r="AA374" i="16"/>
  <c r="AG374" i="16" s="1"/>
  <c r="AA211" i="17"/>
  <c r="AA217" i="17"/>
  <c r="AA223" i="17"/>
  <c r="AA230" i="17"/>
  <c r="AA241" i="17"/>
  <c r="AA251" i="17"/>
  <c r="AA262" i="17"/>
  <c r="AA126" i="17"/>
  <c r="AA123" i="17"/>
  <c r="AA128" i="17"/>
  <c r="AA221" i="17"/>
  <c r="AA226" i="17"/>
  <c r="AA231" i="17"/>
  <c r="AA237" i="17"/>
  <c r="AA242" i="17"/>
  <c r="AA247" i="17"/>
  <c r="AA253" i="17"/>
  <c r="AA258" i="17"/>
  <c r="AA265" i="17"/>
  <c r="AA86" i="17"/>
  <c r="AA185" i="16"/>
  <c r="AG185" i="16" s="1"/>
  <c r="AA214" i="16"/>
  <c r="AG214" i="16" s="1"/>
  <c r="AA184" i="16"/>
  <c r="AG184" i="16" s="1"/>
  <c r="AA88" i="17"/>
  <c r="AA187" i="16"/>
  <c r="AG187" i="16" s="1"/>
  <c r="AA233" i="17"/>
  <c r="AA238" i="17"/>
  <c r="AA243" i="17"/>
  <c r="AA249" i="17"/>
  <c r="AA254" i="17"/>
  <c r="AA259" i="17"/>
  <c r="AA90" i="17"/>
  <c r="AA213" i="16"/>
  <c r="AG213" i="16" s="1"/>
  <c r="AA87" i="17"/>
  <c r="AA188" i="16"/>
  <c r="AG188" i="16" s="1"/>
  <c r="AA92" i="17"/>
  <c r="AA291" i="16"/>
  <c r="AG291" i="16" s="1"/>
  <c r="AA164" i="17"/>
  <c r="U25" i="24"/>
  <c r="U67" i="24" s="1"/>
  <c r="U9" i="24"/>
  <c r="U51" i="24" s="1"/>
  <c r="I15" i="25"/>
  <c r="I14" i="25"/>
  <c r="AA316" i="16"/>
  <c r="AG316" i="16" s="1"/>
  <c r="AA310" i="16"/>
  <c r="AG310" i="16" s="1"/>
  <c r="AA186" i="17"/>
  <c r="AA190" i="17"/>
  <c r="AA194" i="17"/>
  <c r="AA319" i="16"/>
  <c r="AG319" i="16" s="1"/>
  <c r="AA309" i="16"/>
  <c r="AG309" i="16" s="1"/>
  <c r="AA314" i="16"/>
  <c r="AG314" i="16" s="1"/>
  <c r="AA187" i="17"/>
  <c r="AA191" i="17"/>
  <c r="AA195" i="17"/>
  <c r="AA315" i="16"/>
  <c r="AG315" i="16" s="1"/>
  <c r="AA307" i="16"/>
  <c r="AG307" i="16" s="1"/>
  <c r="AA308" i="16"/>
  <c r="AG308" i="16" s="1"/>
  <c r="AA313" i="16"/>
  <c r="AG313" i="16" s="1"/>
  <c r="AA318" i="16"/>
  <c r="AG318" i="16" s="1"/>
  <c r="AA188" i="17"/>
  <c r="AA192" i="17"/>
  <c r="AA266" i="17"/>
  <c r="N15" i="25"/>
  <c r="N14" i="25"/>
  <c r="AA292" i="16"/>
  <c r="AG292" i="16" s="1"/>
  <c r="AA159" i="17"/>
  <c r="AA167" i="17"/>
  <c r="AA269" i="17"/>
  <c r="AA287" i="16"/>
  <c r="AG287" i="16" s="1"/>
  <c r="AA293" i="16"/>
  <c r="AG293" i="16" s="1"/>
  <c r="AA163" i="17"/>
  <c r="AA273" i="17"/>
  <c r="AA277" i="17"/>
  <c r="AA263" i="17"/>
  <c r="AA284" i="16"/>
  <c r="AG284" i="16" s="1"/>
  <c r="AA285" i="16"/>
  <c r="AG285" i="16" s="1"/>
  <c r="AA286" i="16"/>
  <c r="AG286" i="16" s="1"/>
  <c r="AA161" i="17"/>
  <c r="AA165" i="17"/>
  <c r="AA169" i="17"/>
  <c r="AA274" i="17"/>
  <c r="AA275" i="17"/>
  <c r="AA276" i="17"/>
  <c r="AA178" i="16"/>
  <c r="AG178" i="16" s="1"/>
  <c r="AA94" i="17"/>
  <c r="AA177" i="16"/>
  <c r="AG177" i="16" s="1"/>
  <c r="AA217" i="16"/>
  <c r="AG217" i="16" s="1"/>
  <c r="AA182" i="16"/>
  <c r="AG182" i="16" s="1"/>
  <c r="AA91" i="17"/>
  <c r="AA131" i="17"/>
  <c r="AA216" i="16"/>
  <c r="AG216" i="16" s="1"/>
  <c r="AA125" i="17"/>
  <c r="AA96" i="17"/>
  <c r="AA179" i="16"/>
  <c r="AG179" i="16" s="1"/>
  <c r="AA219" i="16"/>
  <c r="AG219" i="16" s="1"/>
  <c r="AA364" i="16"/>
  <c r="AG364" i="16" s="1"/>
  <c r="AA380" i="16"/>
  <c r="AG380" i="16" s="1"/>
  <c r="AA341" i="16"/>
  <c r="AG341" i="16" s="1"/>
  <c r="AA357" i="16"/>
  <c r="AG357" i="16" s="1"/>
  <c r="AA373" i="16"/>
  <c r="AG373" i="16" s="1"/>
  <c r="AA334" i="16"/>
  <c r="AG334" i="16" s="1"/>
  <c r="AA350" i="16"/>
  <c r="AG350" i="16" s="1"/>
  <c r="AA366" i="16"/>
  <c r="AG366" i="16" s="1"/>
  <c r="AA382" i="16"/>
  <c r="AG382" i="16" s="1"/>
  <c r="AA212" i="17"/>
  <c r="AA216" i="17"/>
  <c r="AA220" i="17"/>
  <c r="AA224" i="17"/>
  <c r="AA228" i="17"/>
  <c r="AA232" i="17"/>
  <c r="AA236" i="17"/>
  <c r="AA240" i="17"/>
  <c r="AA244" i="17"/>
  <c r="AA248" i="17"/>
  <c r="AA252" i="17"/>
  <c r="AA256" i="17"/>
  <c r="AA260" i="17"/>
  <c r="AA264" i="17"/>
  <c r="AA283" i="16"/>
  <c r="AG283" i="16" s="1"/>
  <c r="AA288" i="16"/>
  <c r="AG288" i="16" s="1"/>
  <c r="AA289" i="16"/>
  <c r="AG289" i="16" s="1"/>
  <c r="AA290" i="16"/>
  <c r="AG290" i="16" s="1"/>
  <c r="AA162" i="17"/>
  <c r="AA166" i="17"/>
  <c r="AA170" i="17"/>
  <c r="AA477" i="16"/>
  <c r="AG477" i="16" s="1"/>
  <c r="AA480" i="16"/>
  <c r="AG480" i="16" s="1"/>
  <c r="AA479" i="16"/>
  <c r="AG479" i="16" s="1"/>
  <c r="AA222" i="16"/>
  <c r="AG222" i="16" s="1"/>
  <c r="AA122" i="17"/>
  <c r="AA181" i="16"/>
  <c r="AG181" i="16" s="1"/>
  <c r="AA221" i="16"/>
  <c r="AG221" i="16" s="1"/>
  <c r="AA186" i="16"/>
  <c r="AG186" i="16" s="1"/>
  <c r="AA95" i="17"/>
  <c r="AA180" i="16"/>
  <c r="AG180" i="16" s="1"/>
  <c r="AA220" i="16"/>
  <c r="AG220" i="16" s="1"/>
  <c r="AA218" i="16"/>
  <c r="AG218" i="16" s="1"/>
  <c r="AA124" i="17"/>
  <c r="AA183" i="16"/>
  <c r="AG183" i="16" s="1"/>
  <c r="AA223" i="16"/>
  <c r="AG223" i="16" s="1"/>
  <c r="AA474" i="16"/>
  <c r="AG474" i="16" s="1"/>
  <c r="AA473" i="16"/>
  <c r="AG473" i="16" s="1"/>
  <c r="AA482" i="16"/>
  <c r="AG482" i="16" s="1"/>
  <c r="AA476" i="16"/>
  <c r="AG476" i="16" s="1"/>
  <c r="AA478" i="16"/>
  <c r="AG478" i="16" s="1"/>
  <c r="AA475" i="16"/>
  <c r="AG475" i="16" s="1"/>
  <c r="K9" i="26"/>
  <c r="K11" i="26"/>
  <c r="M11" i="26" s="1"/>
  <c r="AA171" i="17"/>
  <c r="AA270" i="17"/>
  <c r="AA481" i="16"/>
  <c r="AG481" i="16" s="1"/>
  <c r="AA271" i="17"/>
  <c r="AA484" i="16"/>
  <c r="AG484" i="16" s="1"/>
  <c r="AA272" i="17"/>
  <c r="AA483" i="16"/>
  <c r="AG483" i="16" s="1"/>
  <c r="AG445" i="16"/>
  <c r="L445" i="21"/>
  <c r="O445" i="21" s="1"/>
  <c r="AG422" i="16"/>
  <c r="AG432" i="16"/>
  <c r="L432" i="21"/>
  <c r="O432" i="21" s="1"/>
  <c r="AG507" i="16"/>
  <c r="L507" i="21"/>
  <c r="O507" i="21" s="1"/>
  <c r="L133" i="21"/>
  <c r="O133" i="21" s="1"/>
  <c r="AG273" i="16"/>
  <c r="L273" i="21"/>
  <c r="O273" i="21" s="1"/>
  <c r="AG274" i="16"/>
  <c r="L274" i="21"/>
  <c r="O274" i="21" s="1"/>
  <c r="AG403" i="16"/>
  <c r="L418" i="21"/>
  <c r="O418" i="21" s="1"/>
  <c r="AG442" i="16"/>
  <c r="L442" i="21"/>
  <c r="O442" i="21" s="1"/>
  <c r="AG455" i="16"/>
  <c r="L455" i="21"/>
  <c r="O455" i="21" s="1"/>
  <c r="AG494" i="16"/>
  <c r="L494" i="21"/>
  <c r="O494" i="21" s="1"/>
  <c r="L506" i="21"/>
  <c r="O506" i="21" s="1"/>
  <c r="AG500" i="16"/>
  <c r="L500" i="21"/>
  <c r="O500" i="21" s="1"/>
  <c r="AG38" i="16"/>
  <c r="AG131" i="16"/>
  <c r="L131" i="21"/>
  <c r="O131" i="21" s="1"/>
  <c r="L49" i="21"/>
  <c r="O49" i="21" s="1"/>
  <c r="L264" i="21"/>
  <c r="O264" i="21" s="1"/>
  <c r="AG280" i="16"/>
  <c r="L280" i="21"/>
  <c r="O280" i="21" s="1"/>
  <c r="AG261" i="16"/>
  <c r="L261" i="21"/>
  <c r="O261" i="21" s="1"/>
  <c r="L388" i="21"/>
  <c r="AG393" i="16"/>
  <c r="AG438" i="16"/>
  <c r="L438" i="21"/>
  <c r="O438" i="21" s="1"/>
  <c r="AG467" i="16"/>
  <c r="L467" i="21"/>
  <c r="O467" i="21" s="1"/>
  <c r="AG485" i="16"/>
  <c r="L485" i="21"/>
  <c r="AG497" i="16"/>
  <c r="L497" i="21"/>
  <c r="O497" i="21" s="1"/>
  <c r="L138" i="21"/>
  <c r="O138" i="21" s="1"/>
  <c r="AG275" i="16"/>
  <c r="L275" i="21"/>
  <c r="O275" i="21" s="1"/>
  <c r="L276" i="21"/>
  <c r="O276" i="21" s="1"/>
  <c r="AG421" i="16"/>
  <c r="L421" i="21"/>
  <c r="O421" i="21" s="1"/>
  <c r="L441" i="21"/>
  <c r="O441" i="21" s="1"/>
  <c r="L413" i="21"/>
  <c r="O413" i="21" s="1"/>
  <c r="AG426" i="16"/>
  <c r="L426" i="21"/>
  <c r="O426" i="21" s="1"/>
  <c r="AG423" i="16"/>
  <c r="L423" i="21"/>
  <c r="O423" i="21" s="1"/>
  <c r="AG439" i="16"/>
  <c r="L439" i="21"/>
  <c r="O439" i="21" s="1"/>
  <c r="AG471" i="16"/>
  <c r="AG452" i="16"/>
  <c r="AG488" i="16"/>
  <c r="L488" i="21"/>
  <c r="O488" i="21" s="1"/>
  <c r="AG391" i="16"/>
  <c r="L391" i="21"/>
  <c r="O391" i="21" s="1"/>
  <c r="AG396" i="16"/>
  <c r="L396" i="21"/>
  <c r="O396" i="21" s="1"/>
  <c r="AG412" i="16"/>
  <c r="AG457" i="16"/>
  <c r="L457" i="21"/>
  <c r="O457" i="21" s="1"/>
  <c r="AG401" i="16"/>
  <c r="L401" i="21"/>
  <c r="O401" i="21" s="1"/>
  <c r="AG406" i="16"/>
  <c r="AG433" i="16"/>
  <c r="L433" i="21"/>
  <c r="O433" i="21" s="1"/>
  <c r="AG430" i="16"/>
  <c r="L430" i="21"/>
  <c r="O430" i="21" s="1"/>
  <c r="AG462" i="16"/>
  <c r="L462" i="21"/>
  <c r="O462" i="21" s="1"/>
  <c r="AG459" i="16"/>
  <c r="L459" i="21"/>
  <c r="O459" i="21" s="1"/>
  <c r="AG440" i="16"/>
  <c r="AG456" i="16"/>
  <c r="L456" i="21"/>
  <c r="O456" i="21" s="1"/>
  <c r="L482" i="21"/>
  <c r="L480" i="21"/>
  <c r="AG465" i="16"/>
  <c r="L465" i="21"/>
  <c r="O465" i="21" s="1"/>
  <c r="AG487" i="16"/>
  <c r="L492" i="21"/>
  <c r="O492" i="21" s="1"/>
  <c r="AG493" i="16"/>
  <c r="L493" i="21"/>
  <c r="O493" i="21" s="1"/>
  <c r="L320" i="21"/>
  <c r="O320" i="21" s="1"/>
  <c r="L321" i="21"/>
  <c r="L297" i="21"/>
  <c r="O297" i="21" s="1"/>
  <c r="L289" i="21"/>
  <c r="O289" i="21" s="1"/>
  <c r="L308" i="21"/>
  <c r="L300" i="21"/>
  <c r="O300" i="21" s="1"/>
  <c r="AG504" i="16"/>
  <c r="L504" i="21"/>
  <c r="O504" i="21" s="1"/>
  <c r="AG135" i="16"/>
  <c r="L135" i="21"/>
  <c r="O135" i="21" s="1"/>
  <c r="L136" i="21"/>
  <c r="O136" i="21" s="1"/>
  <c r="AG52" i="16"/>
  <c r="L52" i="21"/>
  <c r="O52" i="21" s="1"/>
  <c r="L130" i="21"/>
  <c r="O130" i="21" s="1"/>
  <c r="AG267" i="16"/>
  <c r="L267" i="21"/>
  <c r="O267" i="21" s="1"/>
  <c r="L382" i="21"/>
  <c r="L374" i="21"/>
  <c r="O374" i="21" s="1"/>
  <c r="L366" i="21"/>
  <c r="L358" i="21"/>
  <c r="O358" i="21" s="1"/>
  <c r="L350" i="21"/>
  <c r="L342" i="21"/>
  <c r="O342" i="21" s="1"/>
  <c r="L334" i="21"/>
  <c r="O334" i="21" s="1"/>
  <c r="L377" i="21"/>
  <c r="L341" i="21"/>
  <c r="L381" i="21"/>
  <c r="O381" i="21" s="1"/>
  <c r="L367" i="21"/>
  <c r="L359" i="21"/>
  <c r="O359" i="21" s="1"/>
  <c r="L351" i="21"/>
  <c r="L343" i="21"/>
  <c r="AG265" i="16"/>
  <c r="L265" i="21"/>
  <c r="O265" i="21" s="1"/>
  <c r="AG404" i="16"/>
  <c r="L404" i="21"/>
  <c r="O404" i="21" s="1"/>
  <c r="AG409" i="16"/>
  <c r="AG454" i="16"/>
  <c r="L464" i="21"/>
  <c r="O464" i="21" s="1"/>
  <c r="L502" i="21"/>
  <c r="O502" i="21" s="1"/>
  <c r="AG257" i="16"/>
  <c r="L257" i="21"/>
  <c r="O257" i="21" s="1"/>
  <c r="AG395" i="16"/>
  <c r="L395" i="21"/>
  <c r="O395" i="21" s="1"/>
  <c r="AG411" i="16"/>
  <c r="L453" i="21"/>
  <c r="O453" i="21" s="1"/>
  <c r="AG400" i="16"/>
  <c r="L400" i="21"/>
  <c r="O400" i="21" s="1"/>
  <c r="AG416" i="16"/>
  <c r="L416" i="21"/>
  <c r="O416" i="21" s="1"/>
  <c r="AG389" i="16"/>
  <c r="L389" i="21"/>
  <c r="O389" i="21" s="1"/>
  <c r="AG429" i="16"/>
  <c r="L429" i="21"/>
  <c r="O429" i="21" s="1"/>
  <c r="L410" i="21"/>
  <c r="O410" i="21" s="1"/>
  <c r="L434" i="21"/>
  <c r="O434" i="21" s="1"/>
  <c r="AG450" i="16"/>
  <c r="L450" i="21"/>
  <c r="O450" i="21" s="1"/>
  <c r="AG466" i="16"/>
  <c r="AG447" i="16"/>
  <c r="L447" i="21"/>
  <c r="O447" i="21" s="1"/>
  <c r="AG444" i="16"/>
  <c r="AG460" i="16"/>
  <c r="L460" i="21"/>
  <c r="O460" i="21" s="1"/>
  <c r="AG486" i="16"/>
  <c r="L486" i="21"/>
  <c r="O486" i="21" s="1"/>
  <c r="AG503" i="16"/>
  <c r="AG46" i="16"/>
  <c r="L46" i="21"/>
  <c r="O46" i="21" s="1"/>
  <c r="AG139" i="16"/>
  <c r="L139" i="21"/>
  <c r="O139" i="21" s="1"/>
  <c r="L47" i="21"/>
  <c r="O47" i="21" s="1"/>
  <c r="L213" i="21"/>
  <c r="L173" i="21"/>
  <c r="O173" i="21" s="1"/>
  <c r="L214" i="21"/>
  <c r="L174" i="21"/>
  <c r="O174" i="21" s="1"/>
  <c r="L219" i="21"/>
  <c r="L180" i="21"/>
  <c r="L224" i="21"/>
  <c r="O224" i="21" s="1"/>
  <c r="L183" i="21"/>
  <c r="L167" i="21"/>
  <c r="O167" i="21" s="1"/>
  <c r="AG40" i="16"/>
  <c r="L40" i="21"/>
  <c r="O40" i="21" s="1"/>
  <c r="AG134" i="16"/>
  <c r="L134" i="21"/>
  <c r="O134" i="21" s="1"/>
  <c r="AG255" i="16"/>
  <c r="L255" i="21"/>
  <c r="O255" i="21" s="1"/>
  <c r="L256" i="21"/>
  <c r="O256" i="21" s="1"/>
  <c r="AG272" i="16"/>
  <c r="AG253" i="16"/>
  <c r="L253" i="21"/>
  <c r="O253" i="21" s="1"/>
  <c r="AG270" i="16"/>
  <c r="AB45" i="13"/>
  <c r="AB45" i="12"/>
  <c r="AB45" i="11"/>
  <c r="AB45" i="10"/>
  <c r="Y5" i="13"/>
  <c r="X43" i="13"/>
  <c r="AM57" i="6"/>
  <c r="AM55" i="9"/>
  <c r="AM55" i="8"/>
  <c r="AM55" i="7"/>
  <c r="Y5" i="12"/>
  <c r="X43" i="12"/>
  <c r="O183" i="21" l="1"/>
  <c r="L508" i="21"/>
  <c r="O508" i="21" s="1"/>
  <c r="L266" i="21"/>
  <c r="O266" i="21" s="1"/>
  <c r="L443" i="21"/>
  <c r="O443" i="21" s="1"/>
  <c r="AG463" i="16"/>
  <c r="L449" i="21"/>
  <c r="O449" i="21" s="1"/>
  <c r="L394" i="21"/>
  <c r="O394" i="21" s="1"/>
  <c r="L490" i="21"/>
  <c r="O490" i="21" s="1"/>
  <c r="L435" i="21"/>
  <c r="O435" i="21" s="1"/>
  <c r="L284" i="21"/>
  <c r="O284" i="21" s="1"/>
  <c r="L319" i="21"/>
  <c r="L305" i="21"/>
  <c r="L328" i="21"/>
  <c r="O328" i="21" s="1"/>
  <c r="AG472" i="16"/>
  <c r="AG424" i="16"/>
  <c r="AG417" i="16"/>
  <c r="AG489" i="16"/>
  <c r="AP6" i="16" s="1"/>
  <c r="AQ6" i="16" s="1"/>
  <c r="L436" i="21"/>
  <c r="O436" i="21" s="1"/>
  <c r="L408" i="21"/>
  <c r="O408" i="21" s="1"/>
  <c r="L448" i="21"/>
  <c r="O448" i="21" s="1"/>
  <c r="AG278" i="16"/>
  <c r="L468" i="21"/>
  <c r="O468" i="21" s="1"/>
  <c r="AG397" i="16"/>
  <c r="L414" i="21"/>
  <c r="O414" i="21" s="1"/>
  <c r="L48" i="21"/>
  <c r="O48" i="21" s="1"/>
  <c r="L45" i="21"/>
  <c r="O45" i="21" s="1"/>
  <c r="AG42" i="16"/>
  <c r="L292" i="21"/>
  <c r="O292" i="21" s="1"/>
  <c r="L281" i="21"/>
  <c r="O281" i="21" s="1"/>
  <c r="L313" i="21"/>
  <c r="L475" i="21"/>
  <c r="AG407" i="16"/>
  <c r="O214" i="21"/>
  <c r="L496" i="21"/>
  <c r="O496" i="21" s="1"/>
  <c r="L428" i="21"/>
  <c r="O428" i="21" s="1"/>
  <c r="L505" i="21"/>
  <c r="O505" i="21" s="1"/>
  <c r="L499" i="21"/>
  <c r="O499" i="21" s="1"/>
  <c r="L286" i="21"/>
  <c r="L294" i="21"/>
  <c r="L302" i="21"/>
  <c r="O302" i="21" s="1"/>
  <c r="L310" i="21"/>
  <c r="O310" i="21" s="1"/>
  <c r="L327" i="21"/>
  <c r="L283" i="21"/>
  <c r="L291" i="21"/>
  <c r="O291" i="21" s="1"/>
  <c r="L299" i="21"/>
  <c r="O299" i="21" s="1"/>
  <c r="L307" i="21"/>
  <c r="O307" i="21" s="1"/>
  <c r="L315" i="21"/>
  <c r="L329" i="21"/>
  <c r="O329" i="21" s="1"/>
  <c r="L322" i="21"/>
  <c r="O322" i="21" s="1"/>
  <c r="L330" i="21"/>
  <c r="L479" i="21"/>
  <c r="L484" i="21"/>
  <c r="L473" i="21"/>
  <c r="O473" i="21" s="1"/>
  <c r="L390" i="21"/>
  <c r="O390" i="21" s="1"/>
  <c r="L437" i="21"/>
  <c r="O437" i="21" s="1"/>
  <c r="L458" i="21"/>
  <c r="O458" i="21" s="1"/>
  <c r="L402" i="21"/>
  <c r="O402" i="21" s="1"/>
  <c r="AG501" i="16"/>
  <c r="L392" i="21"/>
  <c r="O392" i="21" s="1"/>
  <c r="L495" i="21"/>
  <c r="O495" i="21" s="1"/>
  <c r="L451" i="21"/>
  <c r="O451" i="21" s="1"/>
  <c r="O180" i="21"/>
  <c r="L288" i="21"/>
  <c r="L296" i="21"/>
  <c r="O296" i="21" s="1"/>
  <c r="L304" i="21"/>
  <c r="L312" i="21"/>
  <c r="L317" i="21"/>
  <c r="O317" i="21" s="1"/>
  <c r="L285" i="21"/>
  <c r="O285" i="21" s="1"/>
  <c r="L293" i="21"/>
  <c r="O293" i="21" s="1"/>
  <c r="L301" i="21"/>
  <c r="L309" i="21"/>
  <c r="O309" i="21" s="1"/>
  <c r="L323" i="21"/>
  <c r="O323" i="21" s="1"/>
  <c r="L316" i="21"/>
  <c r="O316" i="21" s="1"/>
  <c r="L324" i="21"/>
  <c r="O324" i="21" s="1"/>
  <c r="AG320" i="16"/>
  <c r="L483" i="21"/>
  <c r="O483" i="21" s="1"/>
  <c r="L474" i="21"/>
  <c r="O474" i="21" s="1"/>
  <c r="L477" i="21"/>
  <c r="L419" i="21"/>
  <c r="O419" i="21" s="1"/>
  <c r="L398" i="21"/>
  <c r="O398" i="21" s="1"/>
  <c r="AG277" i="16"/>
  <c r="AG51" i="16"/>
  <c r="L425" i="21"/>
  <c r="O425" i="21" s="1"/>
  <c r="O219" i="21"/>
  <c r="L282" i="21"/>
  <c r="O282" i="21" s="1"/>
  <c r="L290" i="21"/>
  <c r="L298" i="21"/>
  <c r="O298" i="21" s="1"/>
  <c r="L306" i="21"/>
  <c r="O306" i="21" s="1"/>
  <c r="L314" i="21"/>
  <c r="L325" i="21"/>
  <c r="L287" i="21"/>
  <c r="L295" i="21"/>
  <c r="O295" i="21" s="1"/>
  <c r="L303" i="21"/>
  <c r="O303" i="21" s="1"/>
  <c r="L311" i="21"/>
  <c r="O311" i="21" s="1"/>
  <c r="L331" i="21"/>
  <c r="L318" i="21"/>
  <c r="O318" i="21" s="1"/>
  <c r="L472" i="21"/>
  <c r="O472" i="21" s="1"/>
  <c r="L476" i="21"/>
  <c r="L478" i="21"/>
  <c r="O478" i="21" s="1"/>
  <c r="O484" i="21"/>
  <c r="K7" i="26"/>
  <c r="M7" i="26" s="1"/>
  <c r="M13" i="26" s="1"/>
  <c r="L171" i="21"/>
  <c r="L187" i="21"/>
  <c r="O187" i="21" s="1"/>
  <c r="L178" i="21"/>
  <c r="O178" i="21" s="1"/>
  <c r="L498" i="21"/>
  <c r="O498" i="21" s="1"/>
  <c r="L469" i="21"/>
  <c r="O469" i="21" s="1"/>
  <c r="L431" i="21"/>
  <c r="O431" i="21" s="1"/>
  <c r="L405" i="21"/>
  <c r="O405" i="21" s="1"/>
  <c r="L347" i="21"/>
  <c r="O347" i="21" s="1"/>
  <c r="L353" i="21"/>
  <c r="L361" i="21"/>
  <c r="O361" i="21" s="1"/>
  <c r="L369" i="21"/>
  <c r="L249" i="21"/>
  <c r="O249" i="21" s="1"/>
  <c r="L345" i="21"/>
  <c r="O345" i="21" s="1"/>
  <c r="L385" i="21"/>
  <c r="L336" i="21"/>
  <c r="O336" i="21" s="1"/>
  <c r="L344" i="21"/>
  <c r="O344" i="21" s="1"/>
  <c r="L352" i="21"/>
  <c r="O352" i="21" s="1"/>
  <c r="L360" i="21"/>
  <c r="O360" i="21" s="1"/>
  <c r="L368" i="21"/>
  <c r="O368" i="21" s="1"/>
  <c r="L376" i="21"/>
  <c r="O376" i="21" s="1"/>
  <c r="L384" i="21"/>
  <c r="O384" i="21" s="1"/>
  <c r="L184" i="21"/>
  <c r="O184" i="21" s="1"/>
  <c r="L218" i="21"/>
  <c r="O218" i="21" s="1"/>
  <c r="L491" i="21"/>
  <c r="O491" i="21" s="1"/>
  <c r="L175" i="21"/>
  <c r="O175" i="21" s="1"/>
  <c r="L172" i="21"/>
  <c r="O172" i="21" s="1"/>
  <c r="L182" i="21"/>
  <c r="O182" i="21" s="1"/>
  <c r="L181" i="21"/>
  <c r="O181" i="21" s="1"/>
  <c r="L50" i="21"/>
  <c r="O50" i="21" s="1"/>
  <c r="L335" i="21"/>
  <c r="O335" i="21" s="1"/>
  <c r="L379" i="21"/>
  <c r="O379" i="21" s="1"/>
  <c r="L355" i="21"/>
  <c r="O355" i="21" s="1"/>
  <c r="L363" i="21"/>
  <c r="L371" i="21"/>
  <c r="O371" i="21" s="1"/>
  <c r="L333" i="21"/>
  <c r="O333" i="21" s="1"/>
  <c r="L387" i="21"/>
  <c r="O387" i="21" s="1"/>
  <c r="L338" i="21"/>
  <c r="O338" i="21" s="1"/>
  <c r="L346" i="21"/>
  <c r="O346" i="21" s="1"/>
  <c r="L354" i="21"/>
  <c r="O354" i="21" s="1"/>
  <c r="L362" i="21"/>
  <c r="O362" i="21" s="1"/>
  <c r="L370" i="21"/>
  <c r="O370" i="21" s="1"/>
  <c r="L378" i="21"/>
  <c r="O378" i="21" s="1"/>
  <c r="L386" i="21"/>
  <c r="O386" i="21" s="1"/>
  <c r="L251" i="21"/>
  <c r="O251" i="21" s="1"/>
  <c r="O312" i="21"/>
  <c r="L427" i="21"/>
  <c r="O427" i="21" s="1"/>
  <c r="L446" i="21"/>
  <c r="O446" i="21" s="1"/>
  <c r="L279" i="21"/>
  <c r="O279" i="21" s="1"/>
  <c r="L137" i="21"/>
  <c r="O137" i="21" s="1"/>
  <c r="L420" i="21"/>
  <c r="O420" i="21" s="1"/>
  <c r="L461" i="21"/>
  <c r="O461" i="21" s="1"/>
  <c r="L260" i="21"/>
  <c r="O260" i="21" s="1"/>
  <c r="L168" i="21"/>
  <c r="O168" i="21" s="1"/>
  <c r="L223" i="21"/>
  <c r="O223" i="21" s="1"/>
  <c r="L177" i="21"/>
  <c r="O177" i="21" s="1"/>
  <c r="L217" i="21"/>
  <c r="O217" i="21" s="1"/>
  <c r="L41" i="21"/>
  <c r="O41" i="21" s="1"/>
  <c r="L140" i="21"/>
  <c r="O140" i="21" s="1"/>
  <c r="L216" i="21"/>
  <c r="O216" i="21" s="1"/>
  <c r="L188" i="21"/>
  <c r="O188" i="21" s="1"/>
  <c r="L166" i="21"/>
  <c r="O166" i="21" s="1"/>
  <c r="L222" i="21"/>
  <c r="O222" i="21" s="1"/>
  <c r="L221" i="21"/>
  <c r="O221" i="21" s="1"/>
  <c r="L375" i="21"/>
  <c r="O375" i="21" s="1"/>
  <c r="L165" i="21"/>
  <c r="L179" i="21"/>
  <c r="L220" i="21"/>
  <c r="O220" i="21" s="1"/>
  <c r="L176" i="21"/>
  <c r="O176" i="21" s="1"/>
  <c r="L215" i="21"/>
  <c r="O215" i="21" s="1"/>
  <c r="L170" i="21"/>
  <c r="O170" i="21" s="1"/>
  <c r="L186" i="21"/>
  <c r="O186" i="21" s="1"/>
  <c r="L169" i="21"/>
  <c r="O169" i="21" s="1"/>
  <c r="L185" i="21"/>
  <c r="L339" i="21"/>
  <c r="O339" i="21" s="1"/>
  <c r="L349" i="21"/>
  <c r="O349" i="21" s="1"/>
  <c r="L357" i="21"/>
  <c r="O357" i="21" s="1"/>
  <c r="L365" i="21"/>
  <c r="O365" i="21" s="1"/>
  <c r="L373" i="21"/>
  <c r="O373" i="21" s="1"/>
  <c r="L337" i="21"/>
  <c r="O337" i="21" s="1"/>
  <c r="L383" i="21"/>
  <c r="O383" i="21" s="1"/>
  <c r="L332" i="21"/>
  <c r="L340" i="21"/>
  <c r="O340" i="21" s="1"/>
  <c r="L348" i="21"/>
  <c r="O348" i="21" s="1"/>
  <c r="L356" i="21"/>
  <c r="O356" i="21" s="1"/>
  <c r="L364" i="21"/>
  <c r="O364" i="21" s="1"/>
  <c r="L372" i="21"/>
  <c r="O372" i="21" s="1"/>
  <c r="L380" i="21"/>
  <c r="O380" i="21" s="1"/>
  <c r="O314" i="21"/>
  <c r="O326" i="21"/>
  <c r="O476" i="21"/>
  <c r="O481" i="21"/>
  <c r="O325" i="21"/>
  <c r="L254" i="21"/>
  <c r="O254" i="21" s="1"/>
  <c r="L259" i="21"/>
  <c r="O259" i="21" s="1"/>
  <c r="L44" i="21"/>
  <c r="O44" i="21" s="1"/>
  <c r="L415" i="21"/>
  <c r="O415" i="21" s="1"/>
  <c r="O343" i="21"/>
  <c r="O367" i="21"/>
  <c r="O377" i="21"/>
  <c r="O366" i="21"/>
  <c r="L268" i="21"/>
  <c r="O268" i="21" s="1"/>
  <c r="AG43" i="16"/>
  <c r="O305" i="21"/>
  <c r="O313" i="21"/>
  <c r="O321" i="21"/>
  <c r="L263" i="21"/>
  <c r="O263" i="21" s="1"/>
  <c r="AG39" i="16"/>
  <c r="L470" i="21"/>
  <c r="O470" i="21" s="1"/>
  <c r="L399" i="21"/>
  <c r="O399" i="21" s="1"/>
  <c r="O353" i="21"/>
  <c r="O369" i="21"/>
  <c r="O286" i="21"/>
  <c r="O294" i="21"/>
  <c r="O327" i="21"/>
  <c r="O283" i="21"/>
  <c r="O330" i="21"/>
  <c r="L271" i="21"/>
  <c r="O271" i="21" s="1"/>
  <c r="L129" i="21"/>
  <c r="O129" i="21" s="1"/>
  <c r="L250" i="21"/>
  <c r="O250" i="21" s="1"/>
  <c r="O363" i="21"/>
  <c r="AG252" i="16"/>
  <c r="L258" i="21"/>
  <c r="O258" i="21" s="1"/>
  <c r="L262" i="21"/>
  <c r="O262" i="21" s="1"/>
  <c r="L132" i="21"/>
  <c r="O132" i="21" s="1"/>
  <c r="L269" i="21"/>
  <c r="O269" i="21" s="1"/>
  <c r="O165" i="21"/>
  <c r="O185" i="21"/>
  <c r="O301" i="21"/>
  <c r="O351" i="21"/>
  <c r="O341" i="21"/>
  <c r="O350" i="21"/>
  <c r="O213" i="21"/>
  <c r="O171" i="21"/>
  <c r="O385" i="21"/>
  <c r="O304" i="21"/>
  <c r="O287" i="21"/>
  <c r="O331" i="21"/>
  <c r="O477" i="21"/>
  <c r="O290" i="21"/>
  <c r="O308" i="21"/>
  <c r="O319" i="21"/>
  <c r="O475" i="21"/>
  <c r="O179" i="21"/>
  <c r="O382" i="21"/>
  <c r="O315" i="21"/>
  <c r="O479" i="21"/>
  <c r="O288" i="21"/>
  <c r="AC10" i="21"/>
  <c r="AP4" i="16"/>
  <c r="AQ4" i="16" s="1"/>
  <c r="O480" i="21"/>
  <c r="O482" i="21"/>
  <c r="K13" i="26"/>
  <c r="M9" i="26"/>
  <c r="K15" i="26"/>
  <c r="K14" i="26"/>
  <c r="AP5" i="16"/>
  <c r="AQ5" i="16" s="1"/>
  <c r="O332" i="21"/>
  <c r="O388" i="21"/>
  <c r="AC12" i="21"/>
  <c r="O38" i="21"/>
  <c r="AP3" i="16"/>
  <c r="AQ3" i="16" s="1"/>
  <c r="O485" i="21"/>
  <c r="Y43" i="12"/>
  <c r="AB5" i="12"/>
  <c r="AB43" i="12" s="1"/>
  <c r="Y43" i="13"/>
  <c r="AB5" i="13"/>
  <c r="AC9" i="21" l="1"/>
  <c r="AC11" i="21"/>
  <c r="G5" i="28"/>
  <c r="G10" i="28"/>
  <c r="T10" i="21"/>
  <c r="W12" i="21"/>
  <c r="T11" i="21"/>
  <c r="T12" i="21"/>
  <c r="T9" i="21"/>
  <c r="W10" i="21"/>
  <c r="Z10" i="21" s="1"/>
  <c r="AH10" i="21" s="1"/>
  <c r="W11" i="21"/>
  <c r="Z11" i="21" s="1"/>
  <c r="AH11" i="21" s="1"/>
  <c r="W9" i="21"/>
  <c r="M15" i="26"/>
  <c r="M14" i="26"/>
  <c r="AP8" i="16"/>
  <c r="AQ8" i="16" s="1"/>
  <c r="AA247" i="16"/>
  <c r="AG247" i="16" s="1"/>
  <c r="AA243" i="16"/>
  <c r="AG243" i="16" s="1"/>
  <c r="AA239" i="16"/>
  <c r="AG239" i="16" s="1"/>
  <c r="AA211" i="16"/>
  <c r="AG211" i="16" s="1"/>
  <c r="AA207" i="16"/>
  <c r="AG207" i="16" s="1"/>
  <c r="AA203" i="16"/>
  <c r="AG203" i="16" s="1"/>
  <c r="AA156" i="17"/>
  <c r="AA152" i="17"/>
  <c r="AA148" i="17"/>
  <c r="AA120" i="17"/>
  <c r="AA116" i="17"/>
  <c r="AA112" i="17"/>
  <c r="AA238" i="16"/>
  <c r="AG238" i="16" s="1"/>
  <c r="AA206" i="16"/>
  <c r="AA149" i="17"/>
  <c r="AA121" i="17"/>
  <c r="AA248" i="16"/>
  <c r="AG248" i="16" s="1"/>
  <c r="AA244" i="16"/>
  <c r="AG244" i="16" s="1"/>
  <c r="AA240" i="16"/>
  <c r="AG240" i="16" s="1"/>
  <c r="AA212" i="16"/>
  <c r="AG212" i="16" s="1"/>
  <c r="AA208" i="16"/>
  <c r="AG208" i="16" s="1"/>
  <c r="AA204" i="16"/>
  <c r="AG204" i="16" s="1"/>
  <c r="AA155" i="17"/>
  <c r="AA151" i="17"/>
  <c r="AA147" i="17"/>
  <c r="AA119" i="17"/>
  <c r="AA115" i="17"/>
  <c r="AA111" i="17"/>
  <c r="AA246" i="16"/>
  <c r="AG246" i="16" s="1"/>
  <c r="AA157" i="17"/>
  <c r="AA117" i="17"/>
  <c r="AA245" i="16"/>
  <c r="AG245" i="16" s="1"/>
  <c r="AA241" i="16"/>
  <c r="AG241" i="16" s="1"/>
  <c r="AA237" i="16"/>
  <c r="AG237" i="16" s="1"/>
  <c r="AA209" i="16"/>
  <c r="AG209" i="16" s="1"/>
  <c r="AA205" i="16"/>
  <c r="AG205" i="16" s="1"/>
  <c r="AA201" i="16"/>
  <c r="AG201" i="16" s="1"/>
  <c r="AA154" i="17"/>
  <c r="AA150" i="17"/>
  <c r="AA146" i="17"/>
  <c r="AA118" i="17"/>
  <c r="AA114" i="17"/>
  <c r="AA110" i="17"/>
  <c r="AA242" i="16"/>
  <c r="AG242" i="16" s="1"/>
  <c r="AA210" i="16"/>
  <c r="AG210" i="16" s="1"/>
  <c r="AA202" i="16"/>
  <c r="AG202" i="16" s="1"/>
  <c r="AA153" i="17"/>
  <c r="AA113" i="17"/>
  <c r="AB43" i="13"/>
  <c r="AG206" i="16"/>
  <c r="AA162" i="16"/>
  <c r="AA158" i="16"/>
  <c r="AA154" i="16"/>
  <c r="AA90" i="16"/>
  <c r="AA86" i="16"/>
  <c r="AA82" i="16"/>
  <c r="AA78" i="16"/>
  <c r="AA161" i="16"/>
  <c r="AA157" i="16"/>
  <c r="AA153" i="16"/>
  <c r="AA89" i="16"/>
  <c r="AA85" i="16"/>
  <c r="AA81" i="16"/>
  <c r="AA164" i="16"/>
  <c r="AA160" i="16"/>
  <c r="AA156" i="16"/>
  <c r="AA92" i="16"/>
  <c r="AA88" i="16"/>
  <c r="AA84" i="16"/>
  <c r="AA80" i="16"/>
  <c r="AA163" i="16"/>
  <c r="AA159" i="16"/>
  <c r="AA155" i="16"/>
  <c r="AA91" i="16"/>
  <c r="AA87" i="16"/>
  <c r="AA83" i="16"/>
  <c r="AA79" i="16"/>
  <c r="Z12" i="21" l="1"/>
  <c r="AH12" i="21" s="1"/>
  <c r="Z9" i="21"/>
  <c r="AH9" i="21" s="1"/>
  <c r="AG163" i="16"/>
  <c r="L163" i="21"/>
  <c r="O163" i="21" s="1"/>
  <c r="AG88" i="16"/>
  <c r="L88" i="21"/>
  <c r="O88" i="21" s="1"/>
  <c r="AG78" i="16"/>
  <c r="L78" i="21"/>
  <c r="AG91" i="16"/>
  <c r="L91" i="21"/>
  <c r="O91" i="21" s="1"/>
  <c r="AG153" i="16"/>
  <c r="L153" i="21"/>
  <c r="O153" i="21" s="1"/>
  <c r="AG82" i="16"/>
  <c r="L82" i="21"/>
  <c r="O82" i="21" s="1"/>
  <c r="AG155" i="16"/>
  <c r="L155" i="21"/>
  <c r="O155" i="21" s="1"/>
  <c r="AG80" i="16"/>
  <c r="L80" i="21"/>
  <c r="O80" i="21" s="1"/>
  <c r="AG156" i="16"/>
  <c r="L156" i="21"/>
  <c r="O156" i="21" s="1"/>
  <c r="AG81" i="16"/>
  <c r="L81" i="21"/>
  <c r="O81" i="21" s="1"/>
  <c r="AG157" i="16"/>
  <c r="L157" i="21"/>
  <c r="O157" i="21" s="1"/>
  <c r="AG86" i="16"/>
  <c r="L86" i="21"/>
  <c r="O86" i="21" s="1"/>
  <c r="AG162" i="16"/>
  <c r="L162" i="21"/>
  <c r="O162" i="21" s="1"/>
  <c r="AG87" i="16"/>
  <c r="L87" i="21"/>
  <c r="O87" i="21" s="1"/>
  <c r="AG164" i="16"/>
  <c r="L245" i="21"/>
  <c r="O245" i="21" s="1"/>
  <c r="L241" i="21"/>
  <c r="O241" i="21" s="1"/>
  <c r="L237" i="21"/>
  <c r="O237" i="21" s="1"/>
  <c r="L209" i="21"/>
  <c r="O209" i="21" s="1"/>
  <c r="L205" i="21"/>
  <c r="O205" i="21" s="1"/>
  <c r="L201" i="21"/>
  <c r="O201" i="21" s="1"/>
  <c r="L246" i="21"/>
  <c r="O246" i="21" s="1"/>
  <c r="L242" i="21"/>
  <c r="O242" i="21" s="1"/>
  <c r="L238" i="21"/>
  <c r="O238" i="21" s="1"/>
  <c r="L210" i="21"/>
  <c r="O210" i="21" s="1"/>
  <c r="L206" i="21"/>
  <c r="O206" i="21" s="1"/>
  <c r="L202" i="21"/>
  <c r="O202" i="21" s="1"/>
  <c r="L248" i="21"/>
  <c r="O248" i="21" s="1"/>
  <c r="L244" i="21"/>
  <c r="O244" i="21" s="1"/>
  <c r="L240" i="21"/>
  <c r="O240" i="21" s="1"/>
  <c r="L211" i="21"/>
  <c r="O211" i="21" s="1"/>
  <c r="L207" i="21"/>
  <c r="O207" i="21" s="1"/>
  <c r="L203" i="21"/>
  <c r="O203" i="21" s="1"/>
  <c r="L247" i="21"/>
  <c r="O247" i="21" s="1"/>
  <c r="L243" i="21"/>
  <c r="O243" i="21" s="1"/>
  <c r="L239" i="21"/>
  <c r="O239" i="21" s="1"/>
  <c r="L212" i="21"/>
  <c r="O212" i="21" s="1"/>
  <c r="L208" i="21"/>
  <c r="O208" i="21" s="1"/>
  <c r="L204" i="21"/>
  <c r="O204" i="21" s="1"/>
  <c r="L164" i="21"/>
  <c r="O164" i="21" s="1"/>
  <c r="AG89" i="16"/>
  <c r="L89" i="21"/>
  <c r="O89" i="21" s="1"/>
  <c r="AG154" i="16"/>
  <c r="L154" i="21"/>
  <c r="O154" i="21" s="1"/>
  <c r="AG92" i="16"/>
  <c r="L92" i="21"/>
  <c r="O92" i="21" s="1"/>
  <c r="AG158" i="16"/>
  <c r="L158" i="21"/>
  <c r="O158" i="21" s="1"/>
  <c r="AG79" i="16"/>
  <c r="L79" i="21"/>
  <c r="O79" i="21" s="1"/>
  <c r="AG83" i="16"/>
  <c r="L83" i="21"/>
  <c r="O83" i="21" s="1"/>
  <c r="AG159" i="16"/>
  <c r="L159" i="21"/>
  <c r="O159" i="21" s="1"/>
  <c r="AG84" i="16"/>
  <c r="L84" i="21"/>
  <c r="O84" i="21" s="1"/>
  <c r="AG160" i="16"/>
  <c r="L160" i="21"/>
  <c r="O160" i="21" s="1"/>
  <c r="AG85" i="16"/>
  <c r="L85" i="21"/>
  <c r="O85" i="21" s="1"/>
  <c r="AG161" i="16"/>
  <c r="L161" i="21"/>
  <c r="O161" i="21" s="1"/>
  <c r="AG90" i="16"/>
  <c r="L90" i="21"/>
  <c r="O90" i="21" s="1"/>
  <c r="AP2" i="16" l="1"/>
  <c r="AQ2" i="16" s="1"/>
  <c r="O78" i="21"/>
  <c r="W7" i="21" s="1"/>
  <c r="T7" i="21"/>
  <c r="AC7" i="21"/>
  <c r="AP7" i="16" l="1"/>
  <c r="AQ7" i="16" s="1"/>
  <c r="Z7" i="21"/>
  <c r="AH7" i="21" s="1"/>
  <c r="AP9" i="16" l="1"/>
  <c r="AQ9" i="16" s="1"/>
  <c r="J2" i="21"/>
  <c r="K2" i="21"/>
  <c r="M2" i="21"/>
  <c r="N2" i="21"/>
  <c r="J3" i="21"/>
  <c r="K3" i="21"/>
  <c r="M3" i="21"/>
  <c r="N3" i="21"/>
  <c r="J4" i="21"/>
  <c r="K4" i="21"/>
  <c r="M4" i="21"/>
  <c r="N4" i="21"/>
  <c r="J5" i="21"/>
  <c r="K5" i="21"/>
  <c r="M5" i="21"/>
  <c r="N5" i="21"/>
  <c r="J6" i="21"/>
  <c r="K6" i="21"/>
  <c r="M6" i="21"/>
  <c r="N6" i="21"/>
  <c r="J7" i="21"/>
  <c r="K7" i="21"/>
  <c r="M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J8" i="21"/>
  <c r="K8" i="21"/>
  <c r="M8" i="21"/>
  <c r="N8" i="21"/>
  <c r="J9" i="21"/>
  <c r="K9" i="21"/>
  <c r="M9" i="21"/>
  <c r="N9" i="21"/>
  <c r="S9" i="21"/>
  <c r="V9" i="21"/>
  <c r="Y9" i="21"/>
  <c r="AB9" i="21"/>
  <c r="AE9" i="21"/>
  <c r="AG9" i="21"/>
  <c r="AJ9" i="21"/>
  <c r="J10" i="21"/>
  <c r="K10" i="21"/>
  <c r="M10" i="21"/>
  <c r="N10" i="21"/>
  <c r="S10" i="21"/>
  <c r="V10" i="21"/>
  <c r="Y10" i="21"/>
  <c r="AB10" i="21"/>
  <c r="AE10" i="21"/>
  <c r="AG10" i="21"/>
  <c r="AJ10" i="21"/>
  <c r="J11" i="21"/>
  <c r="K11" i="21"/>
  <c r="M11" i="21"/>
  <c r="N11" i="21"/>
  <c r="S11" i="21"/>
  <c r="V11" i="21"/>
  <c r="Y11" i="21"/>
  <c r="AB11" i="21"/>
  <c r="AE11" i="21"/>
  <c r="AG11" i="21"/>
  <c r="AJ11" i="21"/>
  <c r="J12" i="21"/>
  <c r="K12" i="21"/>
  <c r="M12" i="21"/>
  <c r="N12" i="21"/>
  <c r="S12" i="21"/>
  <c r="V12" i="21"/>
  <c r="Y12" i="21"/>
  <c r="AB12" i="21"/>
  <c r="AG12" i="21"/>
  <c r="AJ12" i="21"/>
  <c r="J13" i="21"/>
  <c r="K13" i="21"/>
  <c r="M13" i="21"/>
  <c r="N13" i="21"/>
  <c r="K14" i="21"/>
  <c r="N14" i="21"/>
  <c r="K15" i="21"/>
  <c r="N15" i="21"/>
  <c r="K16" i="21"/>
  <c r="N16" i="21"/>
  <c r="K17" i="21"/>
  <c r="N17" i="21"/>
  <c r="K18" i="21"/>
  <c r="N18" i="21"/>
  <c r="K19" i="21"/>
  <c r="N19" i="21"/>
  <c r="K20" i="21"/>
  <c r="N20" i="21"/>
  <c r="K21" i="21"/>
  <c r="N21" i="21"/>
  <c r="K22" i="21"/>
  <c r="N22" i="21"/>
  <c r="K23" i="21"/>
  <c r="N23" i="21"/>
  <c r="K24" i="21"/>
  <c r="N24" i="21"/>
  <c r="K25" i="21"/>
  <c r="N25" i="21"/>
  <c r="J26" i="21"/>
  <c r="K26" i="21"/>
  <c r="M26" i="21"/>
  <c r="N26" i="21"/>
  <c r="J27" i="21"/>
  <c r="K27" i="21"/>
  <c r="M27" i="21"/>
  <c r="N27" i="21"/>
  <c r="J28" i="21"/>
  <c r="K28" i="21"/>
  <c r="M28" i="21"/>
  <c r="N28" i="21"/>
  <c r="J29" i="21"/>
  <c r="K29" i="21"/>
  <c r="M29" i="21"/>
  <c r="N29" i="21"/>
  <c r="J30" i="21"/>
  <c r="K30" i="21"/>
  <c r="M30" i="21"/>
  <c r="N30" i="21"/>
  <c r="J31" i="21"/>
  <c r="K31" i="21"/>
  <c r="M31" i="21"/>
  <c r="N31" i="21"/>
  <c r="J32" i="21"/>
  <c r="K32" i="21"/>
  <c r="M32" i="21"/>
  <c r="N32" i="21"/>
  <c r="J33" i="21"/>
  <c r="K33" i="21"/>
  <c r="M33" i="21"/>
  <c r="N33" i="21"/>
  <c r="J34" i="21"/>
  <c r="K34" i="21"/>
  <c r="M34" i="21"/>
  <c r="N34" i="21"/>
  <c r="J35" i="21"/>
  <c r="K35" i="21"/>
  <c r="M35" i="21"/>
  <c r="N35" i="21"/>
  <c r="J36" i="21"/>
  <c r="K36" i="21"/>
  <c r="M36" i="21"/>
  <c r="N36" i="21"/>
  <c r="J37" i="21"/>
  <c r="K37" i="21"/>
  <c r="M37" i="21"/>
  <c r="N37" i="21"/>
  <c r="K38" i="21"/>
  <c r="N38" i="21"/>
  <c r="K39" i="21"/>
  <c r="N39" i="21"/>
  <c r="K40" i="21"/>
  <c r="N40" i="21"/>
  <c r="K41" i="21"/>
  <c r="N41" i="21"/>
  <c r="K42" i="21"/>
  <c r="N42" i="21"/>
  <c r="K43" i="21"/>
  <c r="N43" i="21"/>
  <c r="K44" i="21"/>
  <c r="N44" i="21"/>
  <c r="K45" i="21"/>
  <c r="N45" i="21"/>
  <c r="K46" i="21"/>
  <c r="N46" i="21"/>
  <c r="K47" i="21"/>
  <c r="N47" i="21"/>
  <c r="K48" i="21"/>
  <c r="N48" i="21"/>
  <c r="K49" i="21"/>
  <c r="N49" i="21"/>
  <c r="K50" i="21"/>
  <c r="N50" i="21"/>
  <c r="K51" i="21"/>
  <c r="N51" i="21"/>
  <c r="K52" i="21"/>
  <c r="N52" i="21"/>
  <c r="J53" i="21"/>
  <c r="M53" i="21"/>
  <c r="J54" i="21"/>
  <c r="M54" i="21"/>
  <c r="J55" i="21"/>
  <c r="M55" i="21"/>
  <c r="J56" i="21"/>
  <c r="M56" i="21"/>
  <c r="J57" i="21"/>
  <c r="M57" i="21"/>
  <c r="J58" i="21"/>
  <c r="M58" i="21"/>
  <c r="J59" i="21"/>
  <c r="M59" i="21"/>
  <c r="J60" i="21"/>
  <c r="M60" i="21"/>
  <c r="J61" i="21"/>
  <c r="M61" i="21"/>
  <c r="J62" i="21"/>
  <c r="M62" i="21"/>
  <c r="J63" i="21"/>
  <c r="M63" i="21"/>
  <c r="J64" i="21"/>
  <c r="M64" i="21"/>
  <c r="J65" i="21"/>
  <c r="M65" i="21"/>
  <c r="J66" i="21"/>
  <c r="M66" i="21"/>
  <c r="J67" i="21"/>
  <c r="M67" i="21"/>
  <c r="J68" i="21"/>
  <c r="M68" i="21"/>
  <c r="J69" i="21"/>
  <c r="M69" i="21"/>
  <c r="J70" i="21"/>
  <c r="M70" i="21"/>
  <c r="J71" i="21"/>
  <c r="M71" i="21"/>
  <c r="J72" i="21"/>
  <c r="M72" i="21"/>
  <c r="J73" i="21"/>
  <c r="M73" i="21"/>
  <c r="J74" i="21"/>
  <c r="M74" i="21"/>
  <c r="J75" i="21"/>
  <c r="M75" i="21"/>
  <c r="J76" i="21"/>
  <c r="M76" i="21"/>
  <c r="J77" i="21"/>
  <c r="M77" i="21"/>
  <c r="K78" i="21"/>
  <c r="N78" i="21"/>
  <c r="K79" i="21"/>
  <c r="N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K86" i="21"/>
  <c r="N86" i="21"/>
  <c r="K87" i="21"/>
  <c r="N87" i="21"/>
  <c r="K88" i="21"/>
  <c r="N88" i="21"/>
  <c r="K89" i="21"/>
  <c r="N89" i="21"/>
  <c r="K90" i="21"/>
  <c r="N90" i="21"/>
  <c r="K91" i="21"/>
  <c r="N91" i="21"/>
  <c r="K92" i="21"/>
  <c r="N92" i="21"/>
  <c r="K93" i="21"/>
  <c r="N93" i="21"/>
  <c r="K94" i="21"/>
  <c r="N94" i="21"/>
  <c r="K95" i="21"/>
  <c r="N95" i="21"/>
  <c r="K96" i="21"/>
  <c r="N96" i="21"/>
  <c r="K97" i="21"/>
  <c r="N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J105" i="21"/>
  <c r="M105" i="21"/>
  <c r="J106" i="21"/>
  <c r="M106" i="21"/>
  <c r="J107" i="21"/>
  <c r="M107" i="21"/>
  <c r="J108" i="21"/>
  <c r="M108" i="21"/>
  <c r="J109" i="21"/>
  <c r="M109" i="21"/>
  <c r="J110" i="21"/>
  <c r="M110" i="21"/>
  <c r="J111" i="21"/>
  <c r="M111" i="21"/>
  <c r="J112" i="21"/>
  <c r="M112" i="21"/>
  <c r="J113" i="21"/>
  <c r="M113" i="21"/>
  <c r="J114" i="21"/>
  <c r="M114" i="21"/>
  <c r="J115" i="21"/>
  <c r="M115" i="21"/>
  <c r="J116" i="21"/>
  <c r="M116" i="21"/>
  <c r="K117" i="21"/>
  <c r="N117" i="21"/>
  <c r="K118" i="21"/>
  <c r="N118" i="21"/>
  <c r="K119" i="21"/>
  <c r="N119" i="21"/>
  <c r="K120" i="21"/>
  <c r="N120" i="21"/>
  <c r="K121" i="21"/>
  <c r="N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K128" i="21"/>
  <c r="N128" i="21"/>
  <c r="K129" i="21"/>
  <c r="N129" i="21"/>
  <c r="K130" i="21"/>
  <c r="N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J141" i="21"/>
  <c r="M141" i="21"/>
  <c r="J142" i="21"/>
  <c r="M142" i="21"/>
  <c r="J143" i="21"/>
  <c r="M143" i="21"/>
  <c r="J144" i="21"/>
  <c r="M144" i="21"/>
  <c r="J145" i="21"/>
  <c r="M145" i="21"/>
  <c r="J146" i="21"/>
  <c r="M146" i="21"/>
  <c r="J147" i="21"/>
  <c r="M147" i="21"/>
  <c r="J148" i="21"/>
  <c r="M148" i="21"/>
  <c r="J149" i="21"/>
  <c r="M149" i="21"/>
  <c r="J150" i="21"/>
  <c r="M150" i="21"/>
  <c r="J151" i="21"/>
  <c r="M151" i="21"/>
  <c r="J152" i="21"/>
  <c r="M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J189" i="21"/>
  <c r="M189" i="21"/>
  <c r="J190" i="21"/>
  <c r="M190" i="21"/>
  <c r="J191" i="21"/>
  <c r="M191" i="21"/>
  <c r="J192" i="21"/>
  <c r="M192" i="21"/>
  <c r="J193" i="21"/>
  <c r="M193" i="21"/>
  <c r="J194" i="21"/>
  <c r="M194" i="21"/>
  <c r="J195" i="21"/>
  <c r="M195" i="21"/>
  <c r="J196" i="21"/>
  <c r="M196" i="21"/>
  <c r="J197" i="21"/>
  <c r="M197" i="21"/>
  <c r="J198" i="21"/>
  <c r="M198" i="21"/>
  <c r="J199" i="21"/>
  <c r="M199" i="21"/>
  <c r="J200" i="21"/>
  <c r="M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J225" i="21"/>
  <c r="M225" i="21"/>
  <c r="J226" i="21"/>
  <c r="M226" i="21"/>
  <c r="J227" i="21"/>
  <c r="M227" i="21"/>
  <c r="J228" i="21"/>
  <c r="M228" i="21"/>
  <c r="J229" i="21"/>
  <c r="M229" i="21"/>
  <c r="J230" i="21"/>
  <c r="M230" i="21"/>
  <c r="J231" i="21"/>
  <c r="M231" i="21"/>
  <c r="J232" i="21"/>
  <c r="M232" i="21"/>
  <c r="J233" i="21"/>
  <c r="M233" i="21"/>
  <c r="J234" i="21"/>
  <c r="M234" i="21"/>
  <c r="J235" i="21"/>
  <c r="M235" i="21"/>
  <c r="J236" i="21"/>
  <c r="M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K411" i="21"/>
  <c r="N411" i="21"/>
  <c r="K412" i="21"/>
  <c r="N412" i="21"/>
  <c r="K413" i="21"/>
  <c r="N413" i="21"/>
  <c r="K414" i="21"/>
  <c r="N414" i="21"/>
  <c r="K415" i="21"/>
  <c r="N415" i="21"/>
  <c r="K416" i="21"/>
  <c r="N416" i="21"/>
  <c r="K417" i="21"/>
  <c r="N417" i="21"/>
  <c r="K418" i="21"/>
  <c r="N418" i="21"/>
  <c r="K419" i="21"/>
  <c r="N419" i="21"/>
  <c r="K420" i="21"/>
  <c r="N420" i="21"/>
  <c r="K421" i="21"/>
  <c r="N421" i="21"/>
  <c r="K422" i="21"/>
  <c r="N422" i="21"/>
  <c r="K423" i="21"/>
  <c r="N423" i="21"/>
  <c r="K424" i="21"/>
  <c r="N424" i="21"/>
  <c r="K425" i="21"/>
  <c r="N425" i="21"/>
  <c r="K426" i="21"/>
  <c r="N426" i="21"/>
  <c r="K427" i="21"/>
  <c r="N427" i="21"/>
  <c r="K428" i="21"/>
  <c r="N428" i="21"/>
  <c r="K429" i="21"/>
  <c r="N429" i="21"/>
  <c r="K430" i="21"/>
  <c r="N430" i="21"/>
  <c r="K431" i="21"/>
  <c r="N431" i="21"/>
  <c r="K432" i="21"/>
  <c r="N432" i="21"/>
  <c r="K433" i="21"/>
  <c r="N433" i="21"/>
  <c r="K434" i="21"/>
  <c r="N434" i="21"/>
  <c r="K435" i="21"/>
  <c r="N435" i="21"/>
  <c r="K436" i="21"/>
  <c r="N436" i="21"/>
  <c r="K437" i="21"/>
  <c r="N437" i="21"/>
  <c r="K438" i="21"/>
  <c r="N438" i="21"/>
  <c r="K439" i="21"/>
  <c r="N439" i="21"/>
  <c r="K440" i="21"/>
  <c r="N440" i="21"/>
  <c r="K441" i="21"/>
  <c r="N441" i="21"/>
  <c r="K442" i="21"/>
  <c r="N442" i="21"/>
  <c r="K443" i="21"/>
  <c r="N443" i="21"/>
  <c r="K444" i="21"/>
  <c r="N444" i="21"/>
  <c r="K445" i="21"/>
  <c r="N445" i="21"/>
  <c r="K446" i="21"/>
  <c r="N446" i="21"/>
  <c r="K447" i="21"/>
  <c r="N447" i="21"/>
  <c r="K448" i="21"/>
  <c r="N448" i="21"/>
  <c r="K449" i="21"/>
  <c r="N449" i="21"/>
  <c r="K450" i="21"/>
  <c r="N450" i="21"/>
  <c r="K451" i="21"/>
  <c r="N451" i="21"/>
  <c r="K452" i="21"/>
  <c r="N452" i="21"/>
  <c r="K453" i="21"/>
  <c r="N453" i="21"/>
  <c r="K454" i="21"/>
  <c r="N454" i="21"/>
  <c r="K455" i="21"/>
  <c r="N455" i="21"/>
  <c r="K456" i="21"/>
  <c r="N456" i="21"/>
  <c r="K457" i="21"/>
  <c r="N457" i="21"/>
  <c r="K458" i="21"/>
  <c r="N458" i="21"/>
  <c r="K459" i="21"/>
  <c r="N459" i="21"/>
  <c r="K460" i="21"/>
  <c r="N460" i="21"/>
  <c r="K461" i="21"/>
  <c r="N461" i="21"/>
  <c r="K462" i="21"/>
  <c r="N462" i="21"/>
  <c r="K463" i="21"/>
  <c r="N463" i="21"/>
  <c r="K464" i="21"/>
  <c r="N464" i="21"/>
  <c r="K465" i="21"/>
  <c r="N465" i="21"/>
  <c r="K466" i="21"/>
  <c r="N466" i="21"/>
  <c r="K467" i="21"/>
  <c r="N467" i="21"/>
  <c r="K468" i="21"/>
  <c r="N468" i="21"/>
  <c r="K469" i="21"/>
  <c r="N469" i="21"/>
  <c r="K470" i="21"/>
  <c r="N470" i="21"/>
  <c r="K471" i="21"/>
  <c r="N471" i="21"/>
  <c r="K472" i="21"/>
  <c r="N472" i="21"/>
  <c r="K473" i="21"/>
  <c r="N473" i="21"/>
  <c r="K474" i="21"/>
  <c r="N474" i="21"/>
  <c r="K475" i="21"/>
  <c r="N475" i="21"/>
  <c r="K476" i="21"/>
  <c r="N476" i="21"/>
  <c r="K477" i="21"/>
  <c r="N477" i="21"/>
  <c r="K478" i="21"/>
  <c r="N478" i="21"/>
  <c r="K479" i="21"/>
  <c r="N479" i="21"/>
  <c r="K480" i="21"/>
  <c r="N480" i="21"/>
  <c r="K481" i="21"/>
  <c r="N481" i="21"/>
  <c r="K482" i="21"/>
  <c r="N482" i="21"/>
  <c r="K483" i="21"/>
  <c r="N483" i="21"/>
  <c r="K484" i="21"/>
  <c r="N484" i="21"/>
  <c r="K485" i="21"/>
  <c r="N485" i="21"/>
  <c r="K486" i="21"/>
  <c r="N486" i="21"/>
  <c r="K487" i="21"/>
  <c r="N487" i="21"/>
  <c r="K488" i="21"/>
  <c r="N488" i="21"/>
  <c r="K489" i="21"/>
  <c r="N489" i="21"/>
  <c r="K490" i="21"/>
  <c r="N490" i="21"/>
  <c r="K491" i="21"/>
  <c r="N491" i="21"/>
  <c r="K492" i="21"/>
  <c r="N492" i="21"/>
  <c r="K493" i="21"/>
  <c r="N493" i="21"/>
  <c r="K494" i="21"/>
  <c r="N494" i="21"/>
  <c r="K495" i="21"/>
  <c r="N495" i="21"/>
  <c r="K496" i="21"/>
  <c r="N496" i="21"/>
  <c r="K497" i="21"/>
  <c r="N497" i="21"/>
  <c r="K498" i="21"/>
  <c r="N498" i="21"/>
  <c r="K499" i="21"/>
  <c r="N499" i="21"/>
  <c r="K500" i="21"/>
  <c r="N500" i="21"/>
  <c r="K501" i="21"/>
  <c r="N501" i="21"/>
  <c r="K502" i="21"/>
  <c r="N502" i="21"/>
  <c r="K503" i="21"/>
  <c r="N503" i="21"/>
  <c r="K504" i="21"/>
  <c r="N504" i="21"/>
  <c r="K505" i="21"/>
  <c r="N505" i="21"/>
  <c r="K506" i="21"/>
  <c r="N506" i="21"/>
  <c r="K507" i="21"/>
  <c r="N507" i="21"/>
  <c r="K508" i="21"/>
  <c r="N508" i="21"/>
  <c r="D48" i="5"/>
  <c r="E48" i="5"/>
  <c r="F48" i="5"/>
  <c r="G48" i="5"/>
  <c r="D49" i="5"/>
  <c r="E49" i="5"/>
  <c r="F49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Y11" i="16"/>
  <c r="Z11" i="16"/>
  <c r="AE11" i="16"/>
  <c r="AF11" i="16"/>
  <c r="AU11" i="16"/>
  <c r="Y12" i="16"/>
  <c r="Z12" i="16"/>
  <c r="AE12" i="16"/>
  <c r="AF12" i="16"/>
  <c r="Y13" i="16"/>
  <c r="Z13" i="16"/>
  <c r="AE13" i="16"/>
  <c r="AF13" i="16"/>
  <c r="Z14" i="16"/>
  <c r="AF14" i="16"/>
  <c r="Z15" i="16"/>
  <c r="AF15" i="16"/>
  <c r="Z16" i="16"/>
  <c r="AF16" i="16"/>
  <c r="Z17" i="16"/>
  <c r="AF17" i="16"/>
  <c r="Z18" i="16"/>
  <c r="AF18" i="16"/>
  <c r="Z19" i="16"/>
  <c r="AF19" i="16"/>
  <c r="Z20" i="16"/>
  <c r="AF20" i="16"/>
  <c r="Z21" i="16"/>
  <c r="AF21" i="16"/>
  <c r="Z22" i="16"/>
  <c r="AF22" i="16"/>
  <c r="Z23" i="16"/>
  <c r="AF23" i="16"/>
  <c r="Z24" i="16"/>
  <c r="AF24" i="16"/>
  <c r="Z25" i="16"/>
  <c r="AF25" i="16"/>
  <c r="Y26" i="16"/>
  <c r="Z26" i="16"/>
  <c r="AE26" i="16"/>
  <c r="AF26" i="16"/>
  <c r="Y27" i="16"/>
  <c r="Z27" i="16"/>
  <c r="AE27" i="16"/>
  <c r="AF27" i="16"/>
  <c r="Y28" i="16"/>
  <c r="Z28" i="16"/>
  <c r="AE28" i="16"/>
  <c r="AF28" i="16"/>
  <c r="Y29" i="16"/>
  <c r="Z29" i="16"/>
  <c r="AE29" i="16"/>
  <c r="AF29" i="16"/>
  <c r="Y30" i="16"/>
  <c r="Z30" i="16"/>
  <c r="AE30" i="16"/>
  <c r="AF30" i="16"/>
  <c r="Y31" i="16"/>
  <c r="Z31" i="16"/>
  <c r="AE31" i="16"/>
  <c r="AF31" i="16"/>
  <c r="Y32" i="16"/>
  <c r="Z32" i="16"/>
  <c r="AE32" i="16"/>
  <c r="AF32" i="16"/>
  <c r="Y33" i="16"/>
  <c r="Z33" i="16"/>
  <c r="AE33" i="16"/>
  <c r="AF33" i="16"/>
  <c r="Y34" i="16"/>
  <c r="Z34" i="16"/>
  <c r="AE34" i="16"/>
  <c r="AF34" i="16"/>
  <c r="Y35" i="16"/>
  <c r="Z35" i="16"/>
  <c r="AE35" i="16"/>
  <c r="AF35" i="16"/>
  <c r="Y36" i="16"/>
  <c r="Z36" i="16"/>
  <c r="AE36" i="16"/>
  <c r="AF36" i="16"/>
  <c r="Y37" i="16"/>
  <c r="Z37" i="16"/>
  <c r="AE37" i="16"/>
  <c r="AF37" i="16"/>
  <c r="Z38" i="16"/>
  <c r="AF38" i="16"/>
  <c r="Z39" i="16"/>
  <c r="AF39" i="16"/>
  <c r="Z40" i="16"/>
  <c r="AF40" i="16"/>
  <c r="Z41" i="16"/>
  <c r="AF41" i="16"/>
  <c r="Z42" i="16"/>
  <c r="AF42" i="16"/>
  <c r="Z43" i="16"/>
  <c r="AF43" i="16"/>
  <c r="Z44" i="16"/>
  <c r="AF44" i="16"/>
  <c r="Z45" i="16"/>
  <c r="AF45" i="16"/>
  <c r="Z46" i="16"/>
  <c r="AF46" i="16"/>
  <c r="Z47" i="16"/>
  <c r="AF47" i="16"/>
  <c r="Z48" i="16"/>
  <c r="AF48" i="16"/>
  <c r="Z49" i="16"/>
  <c r="AF49" i="16"/>
  <c r="Z50" i="16"/>
  <c r="AF50" i="16"/>
  <c r="Z51" i="16"/>
  <c r="AF51" i="16"/>
  <c r="Z52" i="16"/>
  <c r="AF52" i="16"/>
  <c r="Y53" i="16"/>
  <c r="AE53" i="16"/>
  <c r="Y54" i="16"/>
  <c r="AE54" i="16"/>
  <c r="Y55" i="16"/>
  <c r="AE55" i="16"/>
  <c r="Y56" i="16"/>
  <c r="AE56" i="16"/>
  <c r="Y57" i="16"/>
  <c r="AE57" i="16"/>
  <c r="Y58" i="16"/>
  <c r="AE58" i="16"/>
  <c r="Y59" i="16"/>
  <c r="AE59" i="16"/>
  <c r="Y60" i="16"/>
  <c r="AE60" i="16"/>
  <c r="Y61" i="16"/>
  <c r="AE61" i="16"/>
  <c r="Y62" i="16"/>
  <c r="AE62" i="16"/>
  <c r="Y63" i="16"/>
  <c r="AE63" i="16"/>
  <c r="Y64" i="16"/>
  <c r="AE64" i="16"/>
  <c r="Y65" i="16"/>
  <c r="AE65" i="16"/>
  <c r="Y66" i="16"/>
  <c r="AE66" i="16"/>
  <c r="Y67" i="16"/>
  <c r="AE67" i="16"/>
  <c r="Y68" i="16"/>
  <c r="AE68" i="16"/>
  <c r="Y69" i="16"/>
  <c r="AE69" i="16"/>
  <c r="Y70" i="16"/>
  <c r="AE70" i="16"/>
  <c r="Y71" i="16"/>
  <c r="AE71" i="16"/>
  <c r="Y72" i="16"/>
  <c r="AE72" i="16"/>
  <c r="Y73" i="16"/>
  <c r="AE73" i="16"/>
  <c r="Y74" i="16"/>
  <c r="AE74" i="16"/>
  <c r="Y75" i="16"/>
  <c r="AE75" i="16"/>
  <c r="Y76" i="16"/>
  <c r="AE76" i="16"/>
  <c r="Y77" i="16"/>
  <c r="AE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Y105" i="16"/>
  <c r="AE105" i="16"/>
  <c r="Y106" i="16"/>
  <c r="AE106" i="16"/>
  <c r="Y107" i="16"/>
  <c r="AE107" i="16"/>
  <c r="Y108" i="16"/>
  <c r="AE108" i="16"/>
  <c r="Y109" i="16"/>
  <c r="AE109" i="16"/>
  <c r="Y110" i="16"/>
  <c r="AE110" i="16"/>
  <c r="Y111" i="16"/>
  <c r="AE111" i="16"/>
  <c r="Y112" i="16"/>
  <c r="AE112" i="16"/>
  <c r="Y113" i="16"/>
  <c r="AE113" i="16"/>
  <c r="Y114" i="16"/>
  <c r="AE114" i="16"/>
  <c r="Y115" i="16"/>
  <c r="AE115" i="16"/>
  <c r="Y116" i="16"/>
  <c r="AE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Y141" i="16"/>
  <c r="AE141" i="16"/>
  <c r="Y142" i="16"/>
  <c r="AE142" i="16"/>
  <c r="Y143" i="16"/>
  <c r="AE143" i="16"/>
  <c r="Y144" i="16"/>
  <c r="AE144" i="16"/>
  <c r="Y145" i="16"/>
  <c r="AE145" i="16"/>
  <c r="Y146" i="16"/>
  <c r="AE146" i="16"/>
  <c r="Y147" i="16"/>
  <c r="AE147" i="16"/>
  <c r="Y148" i="16"/>
  <c r="AE148" i="16"/>
  <c r="Y149" i="16"/>
  <c r="AE149" i="16"/>
  <c r="Y150" i="16"/>
  <c r="AE150" i="16"/>
  <c r="Y151" i="16"/>
  <c r="AE151" i="16"/>
  <c r="Y152" i="16"/>
  <c r="AE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Y189" i="16"/>
  <c r="AE189" i="16"/>
  <c r="Y190" i="16"/>
  <c r="AE190" i="16"/>
  <c r="Y191" i="16"/>
  <c r="AE191" i="16"/>
  <c r="Y192" i="16"/>
  <c r="AE192" i="16"/>
  <c r="Y193" i="16"/>
  <c r="AE193" i="16"/>
  <c r="Y194" i="16"/>
  <c r="AE194" i="16"/>
  <c r="Y195" i="16"/>
  <c r="AE195" i="16"/>
  <c r="Y196" i="16"/>
  <c r="AE196" i="16"/>
  <c r="Y197" i="16"/>
  <c r="AE197" i="16"/>
  <c r="Y198" i="16"/>
  <c r="AE198" i="16"/>
  <c r="Y199" i="16"/>
  <c r="AE199" i="16"/>
  <c r="Y200" i="16"/>
  <c r="AE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Y225" i="16"/>
  <c r="AE225" i="16"/>
  <c r="Y226" i="16"/>
  <c r="AE226" i="16"/>
  <c r="Y227" i="16"/>
  <c r="AE227" i="16"/>
  <c r="Y228" i="16"/>
  <c r="AE228" i="16"/>
  <c r="Y229" i="16"/>
  <c r="AE229" i="16"/>
  <c r="Y230" i="16"/>
  <c r="AE230" i="16"/>
  <c r="Y231" i="16"/>
  <c r="AE231" i="16"/>
  <c r="Y232" i="16"/>
  <c r="AE232" i="16"/>
  <c r="Y233" i="16"/>
  <c r="AE233" i="16"/>
  <c r="Y234" i="16"/>
  <c r="AE234" i="16"/>
  <c r="Y235" i="16"/>
  <c r="AE235" i="16"/>
  <c r="Y236" i="16"/>
  <c r="AE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Z506" i="16"/>
  <c r="AF506" i="16"/>
  <c r="Z507" i="16"/>
  <c r="AF507" i="16"/>
  <c r="Z508" i="16"/>
  <c r="AF508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Y2" i="17"/>
  <c r="Z2" i="17"/>
  <c r="AD2" i="17"/>
  <c r="AE2" i="17"/>
  <c r="AJ2" i="17"/>
  <c r="Y3" i="17"/>
  <c r="Z3" i="17"/>
  <c r="AD3" i="17"/>
  <c r="AE3" i="17"/>
  <c r="Y4" i="17"/>
  <c r="Z4" i="17"/>
  <c r="AD4" i="17"/>
  <c r="AE4" i="17"/>
  <c r="Y5" i="17"/>
  <c r="Z5" i="17"/>
  <c r="AD5" i="17"/>
  <c r="AE5" i="17"/>
  <c r="AJ5" i="17"/>
  <c r="Y6" i="17"/>
  <c r="Z6" i="17"/>
  <c r="AD6" i="17"/>
  <c r="AE6" i="17"/>
  <c r="AJ6" i="17"/>
  <c r="Y7" i="17"/>
  <c r="Z7" i="17"/>
  <c r="AD7" i="17"/>
  <c r="AE7" i="17"/>
  <c r="AJ7" i="17"/>
  <c r="Y8" i="17"/>
  <c r="Z8" i="17"/>
  <c r="AD8" i="17"/>
  <c r="AE8" i="17"/>
  <c r="AJ8" i="17"/>
  <c r="Y9" i="17"/>
  <c r="Z9" i="17"/>
  <c r="AD9" i="17"/>
  <c r="AE9" i="17"/>
  <c r="Y10" i="17"/>
  <c r="Z10" i="17"/>
  <c r="AD10" i="17"/>
  <c r="AE10" i="17"/>
  <c r="Y11" i="17"/>
  <c r="Z11" i="17"/>
  <c r="AD11" i="17"/>
  <c r="AE11" i="17"/>
  <c r="Y12" i="17"/>
  <c r="Z12" i="17"/>
  <c r="AD12" i="17"/>
  <c r="AE12" i="17"/>
  <c r="AJ12" i="17"/>
  <c r="Y13" i="17"/>
  <c r="Z13" i="17"/>
  <c r="AD13" i="17"/>
  <c r="AE13" i="17"/>
  <c r="Z14" i="17"/>
  <c r="AE14" i="17"/>
  <c r="Z15" i="17"/>
  <c r="AE15" i="17"/>
  <c r="Z16" i="17"/>
  <c r="AE16" i="17"/>
  <c r="Z17" i="17"/>
  <c r="AE17" i="17"/>
  <c r="Z18" i="17"/>
  <c r="AE18" i="17"/>
  <c r="Z19" i="17"/>
  <c r="AE19" i="17"/>
  <c r="Z20" i="17"/>
  <c r="AE20" i="17"/>
  <c r="Z21" i="17"/>
  <c r="AE21" i="17"/>
  <c r="Z22" i="17"/>
  <c r="AE22" i="17"/>
  <c r="Z23" i="17"/>
  <c r="AE23" i="17"/>
  <c r="Z24" i="17"/>
  <c r="AE24" i="17"/>
  <c r="Z25" i="17"/>
  <c r="AE25" i="17"/>
  <c r="Y26" i="17"/>
  <c r="Z26" i="17"/>
  <c r="AD26" i="17"/>
  <c r="AE26" i="17"/>
  <c r="Y27" i="17"/>
  <c r="Z27" i="17"/>
  <c r="AD27" i="17"/>
  <c r="AE27" i="17"/>
  <c r="Y28" i="17"/>
  <c r="Z28" i="17"/>
  <c r="AD28" i="17"/>
  <c r="AE28" i="17"/>
  <c r="Y29" i="17"/>
  <c r="Z29" i="17"/>
  <c r="AD29" i="17"/>
  <c r="AE29" i="17"/>
  <c r="Y30" i="17"/>
  <c r="Z30" i="17"/>
  <c r="AD30" i="17"/>
  <c r="AE30" i="17"/>
  <c r="Y31" i="17"/>
  <c r="Z31" i="17"/>
  <c r="AD31" i="17"/>
  <c r="AE31" i="17"/>
  <c r="Y32" i="17"/>
  <c r="Z32" i="17"/>
  <c r="AD32" i="17"/>
  <c r="AE32" i="17"/>
  <c r="Y33" i="17"/>
  <c r="Z33" i="17"/>
  <c r="AD33" i="17"/>
  <c r="AE33" i="17"/>
  <c r="Y34" i="17"/>
  <c r="Z34" i="17"/>
  <c r="AD34" i="17"/>
  <c r="AE34" i="17"/>
  <c r="Y35" i="17"/>
  <c r="Z35" i="17"/>
  <c r="AD35" i="17"/>
  <c r="AE35" i="17"/>
  <c r="Y36" i="17"/>
  <c r="Z36" i="17"/>
  <c r="AD36" i="17"/>
  <c r="AE36" i="17"/>
  <c r="Y37" i="17"/>
  <c r="Z37" i="17"/>
  <c r="AD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Y50" i="17"/>
  <c r="AD50" i="17"/>
  <c r="Y51" i="17"/>
  <c r="AD51" i="17"/>
  <c r="Y52" i="17"/>
  <c r="AD52" i="17"/>
  <c r="Y53" i="17"/>
  <c r="AD53" i="17"/>
  <c r="Y54" i="17"/>
  <c r="AD54" i="17"/>
  <c r="Y55" i="17"/>
  <c r="AD55" i="17"/>
  <c r="Y56" i="17"/>
  <c r="AD56" i="17"/>
  <c r="Y57" i="17"/>
  <c r="AD57" i="17"/>
  <c r="Y58" i="17"/>
  <c r="AD58" i="17"/>
  <c r="Y59" i="17"/>
  <c r="AD59" i="17"/>
  <c r="Y60" i="17"/>
  <c r="AD60" i="17"/>
  <c r="Y61" i="17"/>
  <c r="AD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Y98" i="17"/>
  <c r="AD98" i="17"/>
  <c r="Y99" i="17"/>
  <c r="AD99" i="17"/>
  <c r="Y100" i="17"/>
  <c r="AD100" i="17"/>
  <c r="Y101" i="17"/>
  <c r="AD101" i="17"/>
  <c r="Y102" i="17"/>
  <c r="AD102" i="17"/>
  <c r="Y103" i="17"/>
  <c r="AD103" i="17"/>
  <c r="Y104" i="17"/>
  <c r="AD104" i="17"/>
  <c r="Y105" i="17"/>
  <c r="AD105" i="17"/>
  <c r="Y106" i="17"/>
  <c r="AD106" i="17"/>
  <c r="Y107" i="17"/>
  <c r="AD107" i="17"/>
  <c r="Y108" i="17"/>
  <c r="AD108" i="17"/>
  <c r="Y109" i="17"/>
  <c r="AD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Y134" i="17"/>
  <c r="AD134" i="17"/>
  <c r="Y135" i="17"/>
  <c r="AD135" i="17"/>
  <c r="Y136" i="17"/>
  <c r="AD136" i="17"/>
  <c r="Y137" i="17"/>
  <c r="AD137" i="17"/>
  <c r="Y138" i="17"/>
  <c r="AD138" i="17"/>
  <c r="Y139" i="17"/>
  <c r="AD139" i="17"/>
  <c r="Y140" i="17"/>
  <c r="AD140" i="17"/>
  <c r="Y141" i="17"/>
  <c r="AD141" i="17"/>
  <c r="Y142" i="17"/>
  <c r="AD142" i="17"/>
  <c r="Y143" i="17"/>
  <c r="AD143" i="17"/>
  <c r="Y144" i="17"/>
  <c r="AD144" i="17"/>
  <c r="Y145" i="17"/>
  <c r="AD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Z212" i="17"/>
  <c r="AE212" i="17"/>
  <c r="Z213" i="17"/>
  <c r="AE213" i="17"/>
  <c r="Z214" i="17"/>
  <c r="AE214" i="17"/>
  <c r="Z215" i="17"/>
  <c r="AE215" i="17"/>
  <c r="Z216" i="17"/>
  <c r="AE216" i="17"/>
  <c r="Z217" i="17"/>
  <c r="AE217" i="17"/>
  <c r="Z218" i="17"/>
  <c r="AE218" i="17"/>
  <c r="Z219" i="17"/>
  <c r="AE219" i="17"/>
  <c r="Z220" i="17"/>
  <c r="AE220" i="17"/>
  <c r="Z221" i="17"/>
  <c r="AE221" i="17"/>
  <c r="Z222" i="17"/>
  <c r="AE222" i="17"/>
  <c r="Z223" i="17"/>
  <c r="AE223" i="17"/>
  <c r="Z224" i="17"/>
  <c r="AE224" i="17"/>
  <c r="Z225" i="17"/>
  <c r="AE225" i="17"/>
  <c r="Z226" i="17"/>
  <c r="AE226" i="17"/>
  <c r="Z227" i="17"/>
  <c r="AE227" i="17"/>
  <c r="Z228" i="17"/>
  <c r="AE228" i="17"/>
  <c r="Z229" i="17"/>
  <c r="AE229" i="17"/>
  <c r="Z230" i="17"/>
  <c r="AE230" i="17"/>
  <c r="Z231" i="17"/>
  <c r="AE231" i="17"/>
  <c r="Z232" i="17"/>
  <c r="AE232" i="17"/>
  <c r="Z233" i="17"/>
  <c r="AE233" i="17"/>
  <c r="Z234" i="17"/>
  <c r="AE234" i="17"/>
  <c r="Z235" i="17"/>
  <c r="AE235" i="17"/>
  <c r="Z236" i="17"/>
  <c r="AE236" i="17"/>
  <c r="Z237" i="17"/>
  <c r="AE237" i="17"/>
  <c r="Z238" i="17"/>
  <c r="AE238" i="17"/>
  <c r="Z239" i="17"/>
  <c r="AE239" i="17"/>
  <c r="Z240" i="17"/>
  <c r="AE240" i="17"/>
  <c r="Z241" i="17"/>
  <c r="AE241" i="17"/>
  <c r="Z242" i="17"/>
  <c r="AE242" i="17"/>
  <c r="Z243" i="17"/>
  <c r="AE243" i="17"/>
  <c r="Z244" i="17"/>
  <c r="AE244" i="17"/>
  <c r="Z245" i="17"/>
  <c r="AE245" i="17"/>
  <c r="Z246" i="17"/>
  <c r="AE246" i="17"/>
  <c r="Z247" i="17"/>
  <c r="AE247" i="17"/>
  <c r="Z248" i="17"/>
  <c r="AE248" i="17"/>
  <c r="Z249" i="17"/>
  <c r="AE249" i="17"/>
  <c r="Z250" i="17"/>
  <c r="AE250" i="17"/>
  <c r="Z251" i="17"/>
  <c r="AE251" i="17"/>
  <c r="Z252" i="17"/>
  <c r="AE252" i="17"/>
  <c r="Z253" i="17"/>
  <c r="AE253" i="17"/>
  <c r="Z254" i="17"/>
  <c r="AE254" i="17"/>
  <c r="Z255" i="17"/>
  <c r="AE255" i="17"/>
  <c r="Z256" i="17"/>
  <c r="AE256" i="17"/>
  <c r="Z257" i="17"/>
  <c r="AE257" i="17"/>
  <c r="Z258" i="17"/>
  <c r="AE258" i="17"/>
  <c r="Z259" i="17"/>
  <c r="AE259" i="17"/>
  <c r="Z260" i="17"/>
  <c r="AE260" i="17"/>
  <c r="Z261" i="17"/>
  <c r="AE261" i="17"/>
  <c r="Z262" i="17"/>
  <c r="AE262" i="17"/>
  <c r="Z263" i="17"/>
  <c r="AE263" i="17"/>
  <c r="Z264" i="17"/>
  <c r="AE264" i="17"/>
  <c r="Z265" i="17"/>
  <c r="AE265" i="17"/>
  <c r="Z266" i="17"/>
  <c r="AE266" i="17"/>
  <c r="Z267" i="17"/>
  <c r="AE267" i="17"/>
  <c r="Z268" i="17"/>
  <c r="AE268" i="17"/>
  <c r="Z269" i="17"/>
  <c r="AE269" i="17"/>
  <c r="Z270" i="17"/>
  <c r="AE270" i="17"/>
  <c r="Z271" i="17"/>
  <c r="AE271" i="17"/>
  <c r="Z272" i="17"/>
  <c r="AE272" i="17"/>
  <c r="Z273" i="17"/>
  <c r="AE273" i="17"/>
  <c r="Z274" i="17"/>
  <c r="AE274" i="17"/>
  <c r="Z275" i="17"/>
  <c r="AE275" i="17"/>
  <c r="Z276" i="17"/>
  <c r="AE276" i="17"/>
  <c r="Z277" i="17"/>
  <c r="AE277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00E2BB8C-3A27-4C90-AEF7-89D46A077CC0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4BEAF-06AC-446C-BD32-EBDA0FB919E0}" name="Conexão" type="7" refreshedVersion="8" background="1" saveData="1"/>
  <connection id="2" xr16:uid="{E7E65474-10CF-419E-8EFC-9E1CC760EE88}" name="Conexão1" type="7" refreshedVersion="8" background="1" saveData="1"/>
  <connection id="3" xr16:uid="{702FFBEB-D611-44D3-9E9B-4BC59BC045A5}" name="Conexão2" type="7" refreshedVersion="8" background="1" saveData="1"/>
</connections>
</file>

<file path=xl/sharedStrings.xml><?xml version="1.0" encoding="utf-8"?>
<sst xmlns="http://schemas.openxmlformats.org/spreadsheetml/2006/main" count="24260" uniqueCount="1089">
  <si>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</si>
  <si>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</si>
  <si>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</si>
  <si>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</si>
  <si>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</si>
  <si>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</si>
  <si>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</si>
  <si>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</si>
  <si>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</si>
  <si>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</si>
  <si>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</si>
  <si>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</si>
  <si>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</si>
  <si>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</si>
  <si>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</si>
  <si>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</si>
  <si>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</si>
  <si>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</si>
  <si>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</si>
  <si>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</si>
  <si>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</si>
  <si>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</si>
  <si>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</si>
  <si>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</si>
  <si>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</si>
  <si>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</si>
  <si>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</si>
  <si>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</si>
  <si>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</si>
  <si>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</si>
  <si>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</si>
  <si>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</si>
  <si>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</si>
  <si>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</si>
  <si>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</si>
  <si>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</si>
  <si>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</si>
  <si>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</si>
  <si>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</si>
  <si>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</si>
  <si>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</si>
  <si>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</si>
  <si>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</si>
  <si>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</si>
  <si>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</si>
  <si>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</si>
  <si>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Iluminação pública – B4b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</si>
  <si>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</si>
  <si>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</si>
  <si>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</si>
  <si>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</si>
  <si>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</si>
  <si>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</si>
  <si>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</si>
  <si>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Azul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</si>
  <si>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</si>
  <si>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</si>
  <si>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</si>
  <si>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</si>
  <si>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</si>
  <si>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</si>
  <si>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</si>
  <si>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</si>
  <si>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</si>
  <si>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</si>
  <si>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</si>
  <si>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</si>
  <si>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</si>
  <si>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</si>
  <si>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</si>
  <si>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</si>
  <si>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</si>
  <si>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</si>
  <si>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</si>
  <si>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</si>
  <si>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</si>
  <si>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</si>
  <si>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</si>
  <si>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</si>
  <si>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</si>
  <si>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</si>
  <si>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</si>
  <si>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</si>
  <si>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</si>
  <si>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</si>
  <si>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</si>
  <si>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</si>
  <si>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</si>
  <si>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</si>
  <si>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</si>
  <si>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</si>
  <si>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</si>
  <si>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</si>
  <si>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</si>
  <si>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</si>
  <si>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</si>
  <si>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</si>
  <si>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</si>
  <si>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</si>
  <si>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</si>
  <si>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</si>
  <si>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</si>
  <si>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</si>
  <si>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</si>
  <si>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</si>
  <si>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aplicaNão se aplica</t>
  </si>
  <si>
    <t>44470A4AzulNão se aplicaNão se aplicaNão se aplicaNão se aplicaNão se aplica</t>
  </si>
  <si>
    <t>44501A4AzulNão se aplicaNão se aplicaNão se aplicaNão se aplicaNão se aplica</t>
  </si>
  <si>
    <t>44531A4AzulNão se aplicaNão se aplicaNão se aplicaNão se aplicaNão se aplica</t>
  </si>
  <si>
    <t>44562A4AzulNão se aplicaNão se aplicaNão se aplicaNão se aplicaNão se aplica</t>
  </si>
  <si>
    <t>44593A4AzulNão se aplicaNão se aplicaNão se aplicaNão se aplicaNão se aplica</t>
  </si>
  <si>
    <t>44621A4AzulNão se aplicaNão se aplicaNão se aplicaNão se aplicaNão se aplica</t>
  </si>
  <si>
    <t>44652A4AzulNão se aplicaNão se aplicaNão se aplicaNão se aplicaNão se aplica</t>
  </si>
  <si>
    <t>44682A4AzulNão se aplicaNão se aplicaNão se aplicaNão se aplicaNão se aplica</t>
  </si>
  <si>
    <t>44713A4AzulNão se aplicaNão se aplicaNão se aplicaNão se aplicaNão se aplica</t>
  </si>
  <si>
    <t>44743A4AzulNão se aplicaNão se aplicaNão se aplicaNão se aplicaNão se aplica</t>
  </si>
  <si>
    <t>44774A4AzulNão se aplicaNão se aplicaNão se aplicaNão se aplicaNão se aplica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</si>
  <si>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</si>
  <si>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</si>
  <si>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</si>
  <si>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</si>
  <si>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</si>
  <si>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</si>
  <si>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</si>
  <si>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</si>
  <si>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</si>
  <si>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</si>
  <si>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</si>
  <si>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</si>
  <si>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</si>
  <si>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</si>
  <si>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</si>
  <si>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</si>
  <si>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</si>
  <si>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</si>
  <si>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</si>
  <si>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</si>
  <si>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</si>
  <si>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</si>
  <si>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</si>
  <si>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</si>
  <si>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</si>
  <si>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</si>
  <si>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</si>
  <si>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</si>
  <si>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</si>
  <si>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</si>
  <si>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</si>
  <si>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</si>
  <si>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</si>
  <si>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</si>
  <si>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</si>
  <si>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</si>
  <si>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</si>
  <si>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</si>
  <si>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</si>
  <si>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</si>
  <si>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</si>
  <si>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</si>
  <si>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</si>
  <si>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</si>
  <si>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</si>
  <si>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</si>
  <si>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</si>
  <si>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</si>
  <si>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</si>
  <si>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</si>
  <si>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</si>
  <si>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</si>
  <si>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</si>
  <si>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</si>
  <si>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</si>
  <si>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</si>
  <si>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</si>
  <si>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</si>
  <si>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</si>
  <si>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</si>
  <si>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</si>
  <si>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</si>
  <si>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</si>
  <si>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</si>
  <si>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</si>
  <si>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</si>
  <si>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</si>
  <si>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</si>
  <si>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</si>
  <si>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</si>
  <si>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</si>
  <si>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</si>
  <si>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</si>
  <si>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</si>
  <si>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</si>
  <si>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</si>
  <si>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</si>
  <si>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</si>
  <si>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</si>
  <si>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</si>
  <si>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</si>
  <si>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</si>
  <si>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</si>
  <si>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</si>
  <si>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</si>
  <si>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</si>
  <si>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</si>
  <si>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</si>
  <si>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</si>
  <si>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</si>
  <si>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</si>
  <si>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</si>
  <si>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</si>
  <si>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</si>
  <si>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</si>
  <si>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</si>
  <si>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</si>
  <si>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</si>
  <si>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</si>
  <si>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</si>
  <si>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</si>
  <si>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</si>
  <si>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</si>
  <si>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</si>
  <si>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</si>
  <si>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</si>
  <si>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</si>
  <si>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</si>
  <si>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</si>
  <si>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</si>
  <si>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</si>
  <si>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</si>
  <si>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</si>
  <si>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</si>
  <si>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</si>
  <si>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</si>
  <si>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</si>
  <si>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</si>
  <si>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</si>
  <si>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</si>
  <si>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</si>
  <si>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</si>
  <si>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</si>
  <si>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</si>
  <si>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</si>
  <si>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</si>
  <si>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</si>
  <si>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</si>
  <si>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</si>
  <si>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</si>
  <si>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</si>
  <si>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</si>
  <si>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</si>
  <si>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</si>
  <si>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</si>
  <si>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</si>
  <si>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</si>
  <si>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</si>
  <si>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</si>
  <si>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</si>
  <si>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</si>
  <si>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</si>
  <si>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</si>
  <si>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</si>
  <si>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</si>
  <si>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</si>
  <si>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</si>
  <si>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</si>
  <si>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</si>
  <si>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</si>
  <si>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</si>
  <si>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</si>
  <si>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</si>
  <si>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</si>
  <si>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</si>
  <si>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</si>
  <si>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</si>
  <si>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</si>
  <si>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</si>
  <si>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</si>
  <si>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</si>
  <si>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</si>
  <si>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</si>
  <si>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</si>
  <si>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</si>
  <si>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</si>
  <si>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</si>
  <si>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</si>
  <si>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</si>
  <si>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</si>
  <si>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</si>
  <si>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</si>
  <si>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</si>
  <si>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</si>
  <si>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</si>
  <si>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</si>
  <si>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</si>
  <si>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</si>
  <si>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</si>
  <si>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</si>
  <si>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</si>
  <si>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</si>
  <si>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</si>
  <si>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</si>
  <si>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</si>
  <si>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</si>
  <si>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</si>
  <si>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</si>
  <si>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</si>
  <si>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</si>
  <si>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</si>
  <si>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</si>
  <si>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</si>
  <si>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</si>
  <si>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</si>
  <si>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</si>
  <si>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</si>
  <si>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</si>
  <si>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</si>
  <si>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</si>
  <si>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</si>
  <si>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</si>
  <si>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</si>
  <si>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</si>
  <si>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</si>
  <si>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</si>
  <si>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</si>
  <si>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</si>
  <si>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</si>
  <si>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</si>
  <si>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</si>
  <si>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</si>
  <si>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</si>
  <si>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</si>
  <si>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</si>
  <si>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</si>
  <si>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</si>
  <si>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</si>
  <si>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</si>
  <si>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</si>
  <si>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</si>
  <si>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</si>
  <si>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</si>
  <si>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</si>
  <si>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</si>
  <si>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</si>
  <si>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</si>
  <si>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</si>
  <si>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</si>
  <si>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</si>
  <si>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</si>
  <si>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</si>
  <si>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</si>
  <si>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</si>
  <si>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</si>
  <si>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</si>
  <si>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</si>
  <si>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</si>
  <si>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</si>
  <si>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</si>
  <si>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</si>
  <si>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</si>
  <si>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</si>
  <si>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</si>
  <si>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</si>
  <si>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</si>
  <si>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</si>
  <si>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</si>
  <si>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</si>
  <si>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</si>
  <si>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</si>
  <si>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</si>
  <si>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</si>
  <si>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</si>
  <si>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</si>
  <si>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</si>
  <si>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</si>
  <si>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</si>
  <si>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</si>
  <si>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</si>
  <si>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</si>
  <si>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</si>
  <si>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</si>
  <si>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</si>
  <si>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</si>
  <si>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</si>
  <si>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</si>
  <si>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</si>
  <si>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</si>
  <si>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</si>
  <si>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</si>
  <si>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</si>
  <si>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</si>
  <si>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</si>
  <si>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</si>
  <si>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</si>
  <si>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</si>
  <si>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</si>
  <si>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</si>
  <si>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</si>
  <si>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</si>
  <si>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</si>
  <si>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</si>
  <si>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</si>
  <si>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</si>
  <si>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</si>
  <si>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</si>
  <si>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</si>
  <si>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</si>
  <si>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</si>
  <si>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</si>
  <si>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</si>
  <si>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</si>
  <si>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</si>
  <si>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</si>
  <si>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</si>
  <si>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</si>
  <si>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</si>
  <si>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</si>
  <si>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</si>
  <si>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</si>
  <si>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</si>
  <si>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</si>
  <si>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</si>
  <si>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</si>
  <si>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</si>
  <si>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</si>
  <si>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</si>
  <si>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</si>
  <si>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</si>
  <si>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</si>
  <si>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</si>
  <si>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</si>
  <si>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</si>
  <si>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</si>
  <si>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</si>
  <si>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</si>
  <si>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</si>
  <si>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</si>
  <si>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</si>
  <si>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</si>
  <si>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</si>
  <si>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</si>
  <si>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</si>
  <si>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</si>
  <si>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</si>
  <si>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</si>
  <si>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</si>
  <si>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</si>
  <si>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</si>
  <si>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</si>
  <si>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</si>
  <si>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</si>
  <si>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</si>
  <si>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</si>
  <si>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</si>
  <si>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</si>
  <si>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</si>
  <si>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</si>
  <si>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</si>
  <si>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</si>
  <si>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</si>
  <si>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</si>
  <si>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</si>
  <si>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</si>
  <si>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</si>
  <si>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</si>
  <si>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</si>
  <si>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</si>
  <si>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</si>
  <si>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</si>
  <si>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</si>
  <si>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</si>
  <si>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</si>
  <si>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</si>
  <si>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</si>
  <si>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</si>
  <si>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</si>
  <si>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</si>
  <si>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</si>
  <si>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</si>
  <si>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</si>
  <si>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</si>
  <si>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</si>
  <si>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</si>
  <si>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</si>
  <si>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</si>
  <si>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</si>
  <si>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</si>
  <si>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</si>
  <si>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</si>
  <si>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</si>
  <si>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</si>
  <si>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</si>
  <si>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</si>
  <si>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</si>
  <si>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</si>
  <si>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</si>
  <si>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</si>
  <si>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</si>
  <si>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</si>
  <si>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</si>
  <si>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</si>
  <si>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</si>
  <si>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</si>
  <si>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</si>
  <si>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</si>
  <si>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</si>
  <si>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</si>
  <si>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</si>
  <si>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</si>
  <si>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</si>
  <si>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</si>
  <si>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</si>
  <si>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2.945,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</si>
  <si>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</si>
  <si>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</si>
  <si>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</si>
  <si>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</si>
  <si>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</si>
  <si>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</si>
  <si>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</si>
  <si>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</si>
  <si>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</si>
  <si>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</si>
  <si>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</si>
  <si>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</si>
  <si>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</si>
  <si>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</si>
  <si>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</si>
  <si>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</si>
  <si>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</si>
  <si>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</si>
  <si>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</si>
  <si>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</si>
  <si>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</si>
  <si>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</si>
  <si>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</si>
  <si>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</si>
  <si>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</si>
  <si>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</si>
  <si>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</si>
  <si>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</si>
  <si>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</si>
  <si>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</si>
  <si>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</si>
  <si>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</si>
  <si>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</si>
  <si>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</si>
  <si>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</si>
  <si>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</si>
  <si>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</si>
  <si>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</si>
  <si>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</si>
  <si>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</si>
  <si>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</si>
  <si>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</si>
  <si>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</si>
  <si>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</si>
  <si>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</si>
  <si>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</si>
  <si>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</si>
  <si>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</si>
  <si>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</si>
  <si>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</si>
  <si>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</si>
  <si>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</si>
  <si>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</si>
  <si>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</si>
  <si>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</si>
  <si>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</si>
  <si>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</si>
  <si>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</si>
  <si>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</si>
  <si>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</si>
  <si>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</si>
  <si>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</si>
  <si>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</si>
  <si>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</si>
  <si>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</si>
  <si>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</si>
  <si>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</si>
  <si>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</si>
  <si>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</si>
  <si>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</si>
  <si>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</si>
  <si>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</si>
  <si>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</si>
  <si>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</si>
  <si>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</si>
  <si>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</si>
  <si>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</si>
  <si>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</si>
  <si>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</si>
  <si>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</si>
  <si>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</si>
  <si>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</si>
  <si>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</si>
  <si>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</si>
  <si>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</si>
  <si>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</si>
  <si>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</si>
  <si>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</si>
  <si>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</si>
  <si>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</si>
  <si>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</si>
  <si>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</si>
  <si>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</si>
  <si>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</si>
  <si>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</si>
  <si>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</si>
  <si>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</si>
  <si>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</si>
  <si>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RURAL</t>
  </si>
  <si>
    <t>SUBSIDIO IRRIGANTE/AQUICULTOR</t>
  </si>
  <si>
    <t>SUBSIDIO BAIXA RENDA</t>
  </si>
  <si>
    <t>SUBSIDIO ÁGUA, ESGOTO E SANEAMENTO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</si>
  <si>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</si>
  <si>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</si>
  <si>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</si>
  <si>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</si>
  <si>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</si>
  <si>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</si>
  <si>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</si>
  <si>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</si>
  <si>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</si>
  <si>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</si>
  <si>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</si>
  <si>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</si>
  <si>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</si>
  <si>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</si>
  <si>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</si>
  <si>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</si>
  <si>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</si>
  <si>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</si>
  <si>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</si>
  <si>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</si>
  <si>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</si>
  <si>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</si>
  <si>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 xml:space="preserve">Branca </t>
  </si>
  <si>
    <t>Azul1RuralNão se aplicaPlanilha CustoA4</t>
  </si>
  <si>
    <t>Planilha Custo</t>
  </si>
  <si>
    <t>Verde1RuralNão se aplicaPlanilha CustoA4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</si>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</sst>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67" fontId="1" fillId="0" borderId="0" xfId="0" applyNumberFormat="1" applyFont="1" applyAlignment="1">
      <alignment horizontal="center" vertical="center"/>
    </xf>
    <xf numFmtId="40" fontId="3" fillId="2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7" fillId="3" borderId="15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40" fontId="7" fillId="3" borderId="15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4" fontId="10" fillId="6" borderId="18" xfId="0" applyNumberFormat="1" applyFont="1" applyFill="1" applyBorder="1"/>
    <xf numFmtId="4" fontId="10" fillId="6" borderId="12" xfId="0" applyNumberFormat="1" applyFont="1" applyFill="1" applyBorder="1"/>
    <xf numFmtId="4" fontId="10" fillId="6" borderId="19" xfId="0" applyNumberFormat="1" applyFont="1" applyFill="1" applyBorder="1"/>
    <xf numFmtId="4" fontId="10" fillId="6" borderId="6" xfId="0" applyNumberFormat="1" applyFont="1" applyFill="1" applyBorder="1"/>
    <xf numFmtId="4" fontId="10" fillId="6" borderId="13" xfId="0" applyNumberFormat="1" applyFont="1" applyFill="1" applyBorder="1"/>
    <xf numFmtId="4" fontId="10" fillId="6" borderId="5" xfId="0" applyNumberFormat="1" applyFont="1" applyFill="1" applyBorder="1"/>
    <xf numFmtId="4" fontId="10" fillId="6" borderId="20" xfId="0" applyNumberFormat="1" applyFont="1" applyFill="1" applyBorder="1"/>
    <xf numFmtId="4" fontId="10" fillId="6" borderId="10" xfId="0" applyNumberFormat="1" applyFont="1" applyFill="1" applyBorder="1"/>
    <xf numFmtId="4" fontId="10" fillId="6" borderId="17" xfId="0" applyNumberFormat="1" applyFont="1" applyFill="1" applyBorder="1"/>
    <xf numFmtId="4" fontId="10" fillId="6" borderId="12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0" fillId="6" borderId="13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98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1.4818430068228095E-3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0.14217887461385981</c:v>
                </c:pt>
                <c:pt idx="6">
                  <c:v>2.4825565912004421E-2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8.4833192241638494E-4</c:v>
                </c:pt>
                <c:pt idx="13">
                  <c:v>0</c:v>
                </c:pt>
                <c:pt idx="14">
                  <c:v>0</c:v>
                </c:pt>
                <c:pt idx="15">
                  <c:v>0.1245378003875572</c:v>
                </c:pt>
                <c:pt idx="16">
                  <c:v>-1.6262732410638185E-2</c:v>
                </c:pt>
                <c:pt idx="17">
                  <c:v>0</c:v>
                </c:pt>
                <c:pt idx="18">
                  <c:v>-6.6209965504292305E-3</c:v>
                </c:pt>
                <c:pt idx="19">
                  <c:v>6.6242153756009329E-4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B-4C6E-A8C3-D1E5CB1C6A1F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1.8030722258716122E-3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0.15228977159351717</c:v>
                </c:pt>
                <c:pt idx="6">
                  <c:v>2.9191423612501332E-2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1.3413824838011566E-2</c:v>
                </c:pt>
                <c:pt idx="13">
                  <c:v>0</c:v>
                </c:pt>
                <c:pt idx="14">
                  <c:v>0</c:v>
                </c:pt>
                <c:pt idx="15">
                  <c:v>0.15879472269234338</c:v>
                </c:pt>
                <c:pt idx="16">
                  <c:v>-1.685603220297803E-2</c:v>
                </c:pt>
                <c:pt idx="17">
                  <c:v>0</c:v>
                </c:pt>
                <c:pt idx="18">
                  <c:v>-7.9344520707642866E-3</c:v>
                </c:pt>
                <c:pt idx="19">
                  <c:v>4.4119233502534967E-4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B-4C6E-A8C3-D1E5CB1C6A1F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1.8030722258716122E-3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0.15228977159351717</c:v>
                </c:pt>
                <c:pt idx="6">
                  <c:v>2.9191423612501332E-2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1.3413824838011566E-2</c:v>
                </c:pt>
                <c:pt idx="13">
                  <c:v>0</c:v>
                </c:pt>
                <c:pt idx="14">
                  <c:v>0</c:v>
                </c:pt>
                <c:pt idx="15">
                  <c:v>0.15879472269234338</c:v>
                </c:pt>
                <c:pt idx="16">
                  <c:v>-1.685603220297803E-2</c:v>
                </c:pt>
                <c:pt idx="17">
                  <c:v>0</c:v>
                </c:pt>
                <c:pt idx="18">
                  <c:v>-7.9344520707642866E-3</c:v>
                </c:pt>
                <c:pt idx="19">
                  <c:v>4.4119233502534967E-4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2B-4C6E-A8C3-D1E5CB1C6A1F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562B-4C6E-A8C3-D1E5CB1C6A1F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562B-4C6E-A8C3-D1E5CB1C6A1F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562B-4C6E-A8C3-D1E5CB1C6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231984"/>
        <c:axId val="896232968"/>
      </c:radarChart>
      <c:catAx>
        <c:axId val="896231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96232968"/>
        <c:crosses val="autoZero"/>
        <c:auto val="1"/>
        <c:lblAlgn val="ctr"/>
        <c:lblOffset val="100"/>
        <c:noMultiLvlLbl val="0"/>
      </c:catAx>
      <c:valAx>
        <c:axId val="896232968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9623198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7.2375060569813521E-2</c:v>
                </c:pt>
                <c:pt idx="2">
                  <c:v>0</c:v>
                </c:pt>
                <c:pt idx="3">
                  <c:v>0</c:v>
                </c:pt>
                <c:pt idx="4">
                  <c:v>-7.1375495730556793E-2</c:v>
                </c:pt>
                <c:pt idx="5">
                  <c:v>-0.30913490716323333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-7.9352954878970112E-3</c:v>
                </c:pt>
                <c:pt idx="10">
                  <c:v>1.5135716102365485E-2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7-4461-A752-B3875BA8F067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7.1446352921488834E-2</c:v>
                </c:pt>
                <c:pt idx="2">
                  <c:v>0</c:v>
                </c:pt>
                <c:pt idx="3">
                  <c:v>0</c:v>
                </c:pt>
                <c:pt idx="4">
                  <c:v>-7.0664108497353689E-2</c:v>
                </c:pt>
                <c:pt idx="5">
                  <c:v>-0.31581328224608968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-7.8562057688834393E-3</c:v>
                </c:pt>
                <c:pt idx="10">
                  <c:v>1.4984861035225129E-2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7-4461-A752-B3875BA8F067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7.1446352921488834E-2</c:v>
                </c:pt>
                <c:pt idx="2">
                  <c:v>0</c:v>
                </c:pt>
                <c:pt idx="3">
                  <c:v>0</c:v>
                </c:pt>
                <c:pt idx="4">
                  <c:v>-7.0664108497353689E-2</c:v>
                </c:pt>
                <c:pt idx="5">
                  <c:v>-0.31581328224608968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-7.8562057688834393E-3</c:v>
                </c:pt>
                <c:pt idx="10">
                  <c:v>1.4984861035225129E-2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F7-4461-A752-B3875BA8F067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8CF7-4461-A752-B3875BA8F067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8CF7-4461-A752-B3875BA8F067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8CF7-4461-A752-B3875BA8F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00952"/>
        <c:axId val="1038395704"/>
      </c:radarChart>
      <c:catAx>
        <c:axId val="10384009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38395704"/>
        <c:crosses val="autoZero"/>
        <c:auto val="1"/>
        <c:lblAlgn val="ctr"/>
        <c:lblOffset val="100"/>
        <c:noMultiLvlLbl val="0"/>
      </c:catAx>
      <c:valAx>
        <c:axId val="1038395704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103840095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258953-C334-5279-E8F9-56B6EF7B3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247651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9C3F7D-FCE0-89E1-DC89-23B1CE9AE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86694675928" createdVersion="5" refreshedVersion="8" minRefreshableVersion="3" recordCount="507" xr:uid="{338D8BCF-BCE2-4940-B1E3-6FC012CA9B8A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8">
        <s v="Industrial"/>
        <s v="Comercial"/>
        <s v="Rural"/>
        <s v="Residencial"/>
        <s v="Consumo próprio"/>
        <s v="Poder público"/>
        <s v="Serviço público"/>
        <s v="Iluminação pública"/>
      </sharedItems>
    </cacheField>
    <cacheField name="Subclasse" numFmtId="0">
      <sharedItems count="11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  <s v="Iluminação pública – B4a"/>
        <s v="Iluminação pública – B4b"/>
      </sharedItems>
    </cacheField>
    <cacheField name="Detalhe" numFmtId="0">
      <sharedItems count="4">
        <s v="Fonte incentivada"/>
        <s v="Não se aplic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-60" maxValue="4452"/>
    </cacheField>
    <cacheField name="Daj" numFmtId="40">
      <sharedItems containsSemiMixedTypes="0" containsString="0" containsNumber="1" minValue="-60" maxValue="4273.92"/>
    </cacheField>
    <cacheField name="TUSD_E" numFmtId="40">
      <sharedItems containsSemiMixedTypes="0" containsString="0" containsNumber="1" minValue="-99.894000000000005" maxValue="822.55100000000004"/>
    </cacheField>
    <cacheField name="TUSD_Eaj" numFmtId="40">
      <sharedItems containsSemiMixedTypes="0" containsString="0" containsNumber="1" minValue="-99.894000000000005" maxValue="789.64895999999999"/>
    </cacheField>
    <cacheField name="TE_E" numFmtId="40">
      <sharedItems containsSemiMixedTypes="0" containsString="0" containsNumber="1" minValue="-99.894000000000005" maxValue="822.55100000000004"/>
    </cacheField>
    <cacheField name="TE_Eaj" numFmtId="40">
      <sharedItems containsSemiMixedTypes="0" containsString="0" containsNumber="1" minValue="-99.894000000000005" maxValue="789.64895999999999"/>
    </cacheField>
    <cacheField name="UC" numFmtId="40">
      <sharedItems containsSemiMixedTypes="0" containsString="0" containsNumber="1" containsInteger="1" minValue="0" maxValue="3555"/>
    </cacheField>
    <cacheField name="OPÇÃO" numFmtId="0">
      <sharedItems count="2">
        <s v="LIVRE"/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22"/>
    </cacheField>
    <cacheField name="CóD. AUX. TUSD R$/MWh" numFmtId="40">
      <sharedItems containsSemiMixedTypes="0" containsString="0" containsNumber="1" containsInteger="1" minValue="0" maxValue="64"/>
    </cacheField>
    <cacheField name="CóD. AUX. TE R$/MWh" numFmtId="4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78.180000000000007"/>
    </cacheField>
    <cacheField name="TUSD (R$/MWh)" numFmtId="40">
      <sharedItems containsSemiMixedTypes="0" containsString="0" containsNumber="1" minValue="0" maxValue="1936.94"/>
    </cacheField>
    <cacheField name="TE (R$/MWh)" numFmtId="40">
      <sharedItems containsSemiMixedTypes="0" containsString="0" containsNumber="1" minValue="0" maxValue="267.91000000000003"/>
    </cacheField>
    <cacheField name="TUSD (R$/kW) NOVA" numFmtId="40">
      <sharedItems containsString="0" containsBlank="1" containsNumber="1" minValue="30.26225635308667" maxValue="92.877947587584202"/>
    </cacheField>
    <cacheField name="TUSD (R$/MWh) NOVA" numFmtId="40">
      <sharedItems containsString="0" containsBlank="1" containsNumber="1" minValue="101.17512561425467" maxValue="2334.812641231822"/>
    </cacheField>
    <cacheField name="TE (R$/MWh) NOVA" numFmtId="40">
      <sharedItems containsString="0" containsBlank="1" containsNumber="1" minValue="64.897288398374442" maxValue="185.42082399535556"/>
    </cacheField>
    <cacheField name="RA0 ou RV - TUSD (kW)" numFmtId="40">
      <sharedItems containsSemiMixedTypes="0" containsString="0" containsNumber="1" minValue="-1340.4" maxValue="95479.372799999997"/>
    </cacheField>
    <cacheField name="RA0 ou RV - TUSD (MWh)" numFmtId="40">
      <sharedItems containsSemiMixedTypes="0" containsString="0" containsNumber="1" minValue="-36736.018500000006" maxValue="217340.25"/>
    </cacheField>
    <cacheField name="RA0 ou RV - TE (MWh)" numFmtId="40">
      <sharedItems containsSemiMixedTypes="0" containsString="0" containsNumber="1" minValue="-26762.601540000003" maxValue="211554.85287360003"/>
    </cacheField>
    <cacheField name="RA1 ou RRD - TUSD (kW)" numFmtId="40">
      <sharedItems containsSemiMixedTypes="0" containsString="0" containsNumber="1" minValue="-1815.7353811852001" maxValue="129338.46267258418"/>
    </cacheField>
    <cacheField name="RA1 ou RRD - TUSD (MWh)" numFmtId="40">
      <sharedItems containsSemiMixedTypes="0" containsString="0" containsNumber="1" minValue="-45732.931007692518" maxValue="270568.42478573561"/>
    </cacheField>
    <cacheField name="RA1 ou RRD - TE (MWh)" numFmtId="40">
      <sharedItems containsSemiMixedTypes="0" containsString="0" containsNumber="1" minValue="-18522.427792192051" maxValue="146417.36083027557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86770601849" createdVersion="5" refreshedVersion="8" minRefreshableVersion="3" recordCount="276" xr:uid="{2D1E01F7-CC0D-405E-BA98-32EB95358E86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4">
        <s v="Industrial"/>
        <s v="Rural"/>
        <s v="Residencial"/>
        <s v="Serviço público"/>
      </sharedItems>
    </cacheField>
    <cacheField name="Subclasse" numFmtId="0">
      <sharedItems count="9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</sharedItems>
    </cacheField>
    <cacheField name="Detalhe" numFmtId="0">
      <sharedItems count="4">
        <s v="Fonte incentivada"/>
        <s v="IRRIG./AQUIC. PR"/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4452"/>
    </cacheField>
    <cacheField name="Daj" numFmtId="40">
      <sharedItems containsSemiMixedTypes="0" containsString="0" containsNumber="1" minValue="0" maxValue="4273.92"/>
    </cacheField>
    <cacheField name="TUSD_E" numFmtId="40">
      <sharedItems containsSemiMixedTypes="0" containsString="0" containsNumber="1" minValue="-3.1520000000000001" maxValue="822.55100000000004"/>
    </cacheField>
    <cacheField name="TUSD_Eaj" numFmtId="40">
      <sharedItems containsSemiMixedTypes="0" containsString="0" containsNumber="1" minValue="-3.1520000000000001" maxValue="789.64895999999999"/>
    </cacheField>
    <cacheField name="TE_E" numFmtId="40">
      <sharedItems containsSemiMixedTypes="0" containsString="0" containsNumber="1" minValue="-3.1520000000000001" maxValue="822.55100000000004"/>
    </cacheField>
    <cacheField name="TE_Eaj" numFmtId="40">
      <sharedItems containsSemiMixedTypes="0" containsString="0" containsNumber="1" minValue="-3.1520000000000001" maxValue="789.64895999999999"/>
    </cacheField>
    <cacheField name="UC" numFmtId="40">
      <sharedItems containsSemiMixedTypes="0" containsString="0" containsNumber="1" containsInteger="1" minValue="0" maxValue="3503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22"/>
    </cacheField>
    <cacheField name="CóD. AUX. TUSD R$/MWh" numFmtId="0">
      <sharedItems containsSemiMixedTypes="0" containsString="0" containsNumber="1" containsInteger="1" minValue="0" maxValue="42"/>
    </cacheField>
    <cacheField name="CóD. AUX. TE R$/MWh" numFmtId="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78.180000000000007"/>
    </cacheField>
    <cacheField name="TUSD (R$/MWh)" numFmtId="40">
      <sharedItems containsSemiMixedTypes="0" containsString="0" containsNumber="1" minValue="0" maxValue="1936.94"/>
    </cacheField>
    <cacheField name="TE (R$/MWh)" numFmtId="40">
      <sharedItems containsSemiMixedTypes="0" containsString="0" containsNumber="1" minValue="0" maxValue="267.91000000000003"/>
    </cacheField>
    <cacheField name="TUSD (R$/kW) NOVA" numFmtId="40">
      <sharedItems containsString="0" containsBlank="1" containsNumber="1" minValue="30.26225635308667" maxValue="92.877947587584202"/>
    </cacheField>
    <cacheField name="TUSD (R$/MWh) NOVA" numFmtId="40">
      <sharedItems containsString="0" containsBlank="1" containsNumber="1" minValue="101.17512561425467" maxValue="2334.812641231822"/>
    </cacheField>
    <cacheField name="TE (R$/MWh) NOVA" numFmtId="40">
      <sharedItems containsString="0" containsBlank="1" containsNumber="1" minValue="64.897288398374442" maxValue="185.42082399535556"/>
    </cacheField>
    <cacheField name="SUBSIDIO kW - TV" numFmtId="40">
      <sharedItems containsSemiMixedTypes="0" containsString="0" containsNumber="1" minValue="0" maxValue="13381.66"/>
    </cacheField>
    <cacheField name="SUBSIDIO MWh - TV" numFmtId="40">
      <sharedItems containsSemiMixedTypes="0" containsString="0" containsNumber="1" minValue="-240.43456000000029" maxValue="126118.46331700002"/>
    </cacheField>
    <cacheField name="SUBSIDIO kW - TN" numFmtId="40">
      <sharedItems containsSemiMixedTypes="0" containsString="0" containsNumber="1" minValue="0" maxValue="18127.091555498915"/>
    </cacheField>
    <cacheField name="SUBSIDIO MWh - TN" numFmtId="40">
      <sharedItems containsSemiMixedTypes="0" containsString="0" containsNumber="1" minValue="-121.64868216543729" maxValue="111273.7147358323"/>
    </cacheField>
    <cacheField name="TIPO" numFmtId="0">
      <sharedItems containsBlank="1" count="6">
        <s v="SUBSIDIO CARGA FONTE INCENTIVADA"/>
        <s v="SUBSIDIO IRRIGANTE/AQUICULTOR"/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">
  <r>
    <s v="Regular"/>
    <x v="0"/>
    <x v="0"/>
    <x v="0"/>
    <x v="0"/>
    <x v="0"/>
    <x v="0"/>
    <x v="0"/>
    <x v="0"/>
    <n v="87"/>
    <n v="43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71.79"/>
    <n v="0"/>
    <n v="0"/>
    <n v="1316.4081513592701"/>
    <n v="0"/>
    <n v="0"/>
  </r>
  <r>
    <s v="Regular"/>
    <x v="0"/>
    <x v="0"/>
    <x v="0"/>
    <x v="0"/>
    <x v="0"/>
    <x v="0"/>
    <x v="0"/>
    <x v="1"/>
    <n v="87"/>
    <n v="43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71.79"/>
    <n v="0"/>
    <n v="0"/>
    <n v="1316.4081513592701"/>
    <n v="0"/>
    <n v="0"/>
  </r>
  <r>
    <s v="Regular"/>
    <x v="0"/>
    <x v="0"/>
    <x v="0"/>
    <x v="0"/>
    <x v="0"/>
    <x v="0"/>
    <x v="0"/>
    <x v="2"/>
    <n v="89"/>
    <n v="44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94.13"/>
    <n v="0"/>
    <n v="0"/>
    <n v="1346.6704077123568"/>
    <n v="0"/>
    <n v="0"/>
  </r>
  <r>
    <s v="Regular"/>
    <x v="0"/>
    <x v="0"/>
    <x v="0"/>
    <x v="0"/>
    <x v="0"/>
    <x v="0"/>
    <x v="0"/>
    <x v="3"/>
    <n v="89"/>
    <n v="44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94.13"/>
    <n v="0"/>
    <n v="0"/>
    <n v="1346.6704077123568"/>
    <n v="0"/>
    <n v="0"/>
  </r>
  <r>
    <s v="Regular"/>
    <x v="0"/>
    <x v="0"/>
    <x v="0"/>
    <x v="0"/>
    <x v="0"/>
    <x v="0"/>
    <x v="0"/>
    <x v="4"/>
    <n v="87"/>
    <n v="43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71.79"/>
    <n v="0"/>
    <n v="0"/>
    <n v="1316.4081513592701"/>
    <n v="0"/>
    <n v="0"/>
  </r>
  <r>
    <s v="Regular"/>
    <x v="0"/>
    <x v="0"/>
    <x v="0"/>
    <x v="0"/>
    <x v="0"/>
    <x v="0"/>
    <x v="0"/>
    <x v="5"/>
    <n v="91"/>
    <n v="45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1016.47"/>
    <n v="0"/>
    <n v="0"/>
    <n v="1376.9326640654435"/>
    <n v="0"/>
    <n v="0"/>
  </r>
  <r>
    <s v="Regular"/>
    <x v="0"/>
    <x v="0"/>
    <x v="0"/>
    <x v="0"/>
    <x v="0"/>
    <x v="0"/>
    <x v="0"/>
    <x v="6"/>
    <n v="91"/>
    <n v="45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1016.47"/>
    <n v="0"/>
    <n v="0"/>
    <n v="1376.9326640654435"/>
    <n v="0"/>
    <n v="0"/>
  </r>
  <r>
    <s v="Regular"/>
    <x v="0"/>
    <x v="0"/>
    <x v="0"/>
    <x v="0"/>
    <x v="0"/>
    <x v="0"/>
    <x v="0"/>
    <x v="7"/>
    <n v="92"/>
    <n v="46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1027.6400000000001"/>
    <n v="0"/>
    <n v="0"/>
    <n v="1392.0637922419869"/>
    <n v="0"/>
    <n v="0"/>
  </r>
  <r>
    <s v="Regular"/>
    <x v="0"/>
    <x v="0"/>
    <x v="0"/>
    <x v="0"/>
    <x v="0"/>
    <x v="0"/>
    <x v="0"/>
    <x v="8"/>
    <n v="87"/>
    <n v="43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71.79"/>
    <n v="0"/>
    <n v="0"/>
    <n v="1316.4081513592701"/>
    <n v="0"/>
    <n v="0"/>
  </r>
  <r>
    <s v="Regular"/>
    <x v="0"/>
    <x v="0"/>
    <x v="0"/>
    <x v="0"/>
    <x v="0"/>
    <x v="0"/>
    <x v="0"/>
    <x v="9"/>
    <n v="94"/>
    <n v="47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1049.98"/>
    <n v="0"/>
    <n v="0"/>
    <n v="1422.3260485950734"/>
    <n v="0"/>
    <n v="0"/>
  </r>
  <r>
    <s v="Regular"/>
    <x v="0"/>
    <x v="0"/>
    <x v="0"/>
    <x v="0"/>
    <x v="0"/>
    <x v="0"/>
    <x v="0"/>
    <x v="10"/>
    <n v="99"/>
    <n v="49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1105.83"/>
    <n v="0"/>
    <n v="0"/>
    <n v="1497.9816894777903"/>
    <n v="0"/>
    <n v="0"/>
  </r>
  <r>
    <s v="Regular"/>
    <x v="0"/>
    <x v="0"/>
    <x v="0"/>
    <x v="0"/>
    <x v="0"/>
    <x v="0"/>
    <x v="0"/>
    <x v="11"/>
    <n v="87"/>
    <n v="43.5"/>
    <n v="0"/>
    <n v="0"/>
    <n v="0"/>
    <n v="0"/>
    <n v="0"/>
    <x v="0"/>
    <n v="0"/>
    <n v="1"/>
    <n v="0"/>
    <n v="0"/>
    <n v="22.34"/>
    <n v="0"/>
    <n v="0"/>
    <n v="30.26225635308667"/>
    <n v="101.17512561425467"/>
    <m/>
    <n v="971.79"/>
    <n v="0"/>
    <n v="0"/>
    <n v="1316.4081513592701"/>
    <n v="0"/>
    <n v="0"/>
  </r>
  <r>
    <s v="Regular"/>
    <x v="0"/>
    <x v="0"/>
    <x v="0"/>
    <x v="0"/>
    <x v="0"/>
    <x v="0"/>
    <x v="1"/>
    <x v="0"/>
    <n v="0"/>
    <n v="0"/>
    <n v="45.453000000000003"/>
    <n v="45.453000000000003"/>
    <n v="0"/>
    <n v="0"/>
    <n v="1"/>
    <x v="0"/>
    <n v="0"/>
    <n v="0"/>
    <n v="4"/>
    <n v="0"/>
    <n v="0"/>
    <n v="56.92"/>
    <n v="0"/>
    <m/>
    <n v="101.17512561425467"/>
    <m/>
    <n v="0"/>
    <n v="2587.1847600000001"/>
    <n v="0"/>
    <n v="0"/>
    <n v="4598.712984544718"/>
    <n v="0"/>
  </r>
  <r>
    <s v="Regular"/>
    <x v="0"/>
    <x v="0"/>
    <x v="0"/>
    <x v="0"/>
    <x v="0"/>
    <x v="0"/>
    <x v="1"/>
    <x v="1"/>
    <n v="0"/>
    <n v="0"/>
    <n v="46.8"/>
    <n v="46.8"/>
    <n v="0"/>
    <n v="0"/>
    <n v="1"/>
    <x v="0"/>
    <n v="0"/>
    <n v="0"/>
    <n v="4"/>
    <n v="0"/>
    <n v="0"/>
    <n v="56.92"/>
    <n v="0"/>
    <m/>
    <n v="101.17512561425467"/>
    <m/>
    <n v="0"/>
    <n v="2663.8559999999998"/>
    <n v="0"/>
    <n v="0"/>
    <n v="4734.9958787471178"/>
    <n v="0"/>
  </r>
  <r>
    <s v="Regular"/>
    <x v="0"/>
    <x v="0"/>
    <x v="0"/>
    <x v="0"/>
    <x v="0"/>
    <x v="0"/>
    <x v="1"/>
    <x v="2"/>
    <n v="0"/>
    <n v="0"/>
    <n v="47.036000000000001"/>
    <n v="47.036000000000001"/>
    <n v="0"/>
    <n v="0"/>
    <n v="1"/>
    <x v="0"/>
    <n v="0"/>
    <n v="0"/>
    <n v="4"/>
    <n v="0"/>
    <n v="0"/>
    <n v="56.92"/>
    <n v="0"/>
    <m/>
    <n v="101.17512561425467"/>
    <m/>
    <n v="0"/>
    <n v="2677.2891200000004"/>
    <n v="0"/>
    <n v="0"/>
    <n v="4758.8732083920831"/>
    <n v="0"/>
  </r>
  <r>
    <s v="Regular"/>
    <x v="0"/>
    <x v="0"/>
    <x v="0"/>
    <x v="0"/>
    <x v="0"/>
    <x v="0"/>
    <x v="1"/>
    <x v="3"/>
    <n v="0"/>
    <n v="0"/>
    <n v="48.454999999999998"/>
    <n v="48.454999999999998"/>
    <n v="0"/>
    <n v="0"/>
    <n v="1"/>
    <x v="0"/>
    <n v="0"/>
    <n v="0"/>
    <n v="4"/>
    <n v="0"/>
    <n v="0"/>
    <n v="56.92"/>
    <n v="0"/>
    <m/>
    <n v="101.17512561425467"/>
    <m/>
    <n v="0"/>
    <n v="2758.0585999999998"/>
    <n v="0"/>
    <n v="0"/>
    <n v="4902.4407116387101"/>
    <n v="0"/>
  </r>
  <r>
    <s v="Regular"/>
    <x v="0"/>
    <x v="0"/>
    <x v="0"/>
    <x v="0"/>
    <x v="0"/>
    <x v="0"/>
    <x v="1"/>
    <x v="4"/>
    <n v="0"/>
    <n v="0"/>
    <n v="46.819000000000003"/>
    <n v="46.819000000000003"/>
    <n v="0"/>
    <n v="0"/>
    <n v="1"/>
    <x v="0"/>
    <n v="0"/>
    <n v="0"/>
    <n v="4"/>
    <n v="0"/>
    <n v="0"/>
    <n v="56.92"/>
    <n v="0"/>
    <m/>
    <n v="101.17512561425467"/>
    <m/>
    <n v="0"/>
    <n v="2664.9374800000001"/>
    <n v="0"/>
    <n v="0"/>
    <n v="4736.9182061337897"/>
    <n v="0"/>
  </r>
  <r>
    <s v="Regular"/>
    <x v="0"/>
    <x v="0"/>
    <x v="0"/>
    <x v="0"/>
    <x v="0"/>
    <x v="0"/>
    <x v="1"/>
    <x v="5"/>
    <n v="0"/>
    <n v="0"/>
    <n v="42.377000000000002"/>
    <n v="42.377000000000002"/>
    <n v="0"/>
    <n v="0"/>
    <n v="1"/>
    <x v="0"/>
    <n v="0"/>
    <n v="0"/>
    <n v="4"/>
    <n v="0"/>
    <n v="0"/>
    <n v="56.92"/>
    <n v="0"/>
    <m/>
    <n v="101.17512561425467"/>
    <m/>
    <n v="0"/>
    <n v="2412.0988400000001"/>
    <n v="0"/>
    <n v="0"/>
    <n v="4287.4982981552703"/>
    <n v="0"/>
  </r>
  <r>
    <s v="Regular"/>
    <x v="0"/>
    <x v="0"/>
    <x v="0"/>
    <x v="0"/>
    <x v="0"/>
    <x v="0"/>
    <x v="1"/>
    <x v="6"/>
    <n v="0"/>
    <n v="0"/>
    <n v="49.387"/>
    <n v="49.387"/>
    <n v="0"/>
    <n v="0"/>
    <n v="1"/>
    <x v="0"/>
    <n v="0"/>
    <n v="0"/>
    <n v="4"/>
    <n v="0"/>
    <n v="0"/>
    <n v="56.92"/>
    <n v="0"/>
    <m/>
    <n v="101.17512561425467"/>
    <m/>
    <n v="0"/>
    <n v="2811.1080400000001"/>
    <n v="0"/>
    <n v="0"/>
    <n v="4996.7359287111949"/>
    <n v="0"/>
  </r>
  <r>
    <s v="Regular"/>
    <x v="0"/>
    <x v="0"/>
    <x v="0"/>
    <x v="0"/>
    <x v="0"/>
    <x v="0"/>
    <x v="1"/>
    <x v="7"/>
    <n v="0"/>
    <n v="0"/>
    <n v="47.712000000000003"/>
    <n v="47.712000000000003"/>
    <n v="0"/>
    <n v="0"/>
    <n v="1"/>
    <x v="0"/>
    <n v="0"/>
    <n v="0"/>
    <n v="4"/>
    <n v="0"/>
    <n v="0"/>
    <n v="56.92"/>
    <n v="0"/>
    <m/>
    <n v="101.17512561425467"/>
    <m/>
    <n v="0"/>
    <n v="2715.7670400000002"/>
    <n v="0"/>
    <n v="0"/>
    <n v="4827.2675933073187"/>
    <n v="0"/>
  </r>
  <r>
    <s v="Regular"/>
    <x v="0"/>
    <x v="0"/>
    <x v="0"/>
    <x v="0"/>
    <x v="0"/>
    <x v="0"/>
    <x v="1"/>
    <x v="8"/>
    <n v="0"/>
    <n v="0"/>
    <n v="47.343000000000004"/>
    <n v="47.343000000000004"/>
    <n v="0"/>
    <n v="0"/>
    <n v="1"/>
    <x v="0"/>
    <n v="0"/>
    <n v="0"/>
    <n v="4"/>
    <n v="0"/>
    <n v="0"/>
    <n v="56.92"/>
    <n v="0"/>
    <m/>
    <n v="101.17512561425467"/>
    <m/>
    <n v="0"/>
    <n v="2694.7635600000003"/>
    <n v="0"/>
    <n v="0"/>
    <n v="4789.9339719556592"/>
    <n v="0"/>
  </r>
  <r>
    <s v="Regular"/>
    <x v="0"/>
    <x v="0"/>
    <x v="0"/>
    <x v="0"/>
    <x v="0"/>
    <x v="0"/>
    <x v="1"/>
    <x v="9"/>
    <n v="0"/>
    <n v="0"/>
    <n v="45.942999999999998"/>
    <n v="45.942999999999998"/>
    <n v="0"/>
    <n v="0"/>
    <n v="1"/>
    <x v="0"/>
    <n v="0"/>
    <n v="0"/>
    <n v="4"/>
    <n v="0"/>
    <n v="0"/>
    <n v="56.92"/>
    <n v="0"/>
    <m/>
    <n v="101.17512561425467"/>
    <m/>
    <n v="0"/>
    <n v="2615.0755599999998"/>
    <n v="0"/>
    <n v="0"/>
    <n v="4648.2887960957023"/>
    <n v="0"/>
  </r>
  <r>
    <s v="Regular"/>
    <x v="0"/>
    <x v="0"/>
    <x v="0"/>
    <x v="0"/>
    <x v="0"/>
    <x v="0"/>
    <x v="1"/>
    <x v="10"/>
    <n v="0"/>
    <n v="0"/>
    <n v="47.923999999999999"/>
    <n v="47.923999999999999"/>
    <n v="0"/>
    <n v="0"/>
    <n v="1"/>
    <x v="0"/>
    <n v="0"/>
    <n v="0"/>
    <n v="4"/>
    <n v="0"/>
    <n v="0"/>
    <n v="56.92"/>
    <n v="0"/>
    <m/>
    <n v="101.17512561425467"/>
    <m/>
    <n v="0"/>
    <n v="2727.8340800000001"/>
    <n v="0"/>
    <n v="0"/>
    <n v="4848.7167199375408"/>
    <n v="0"/>
  </r>
  <r>
    <s v="Regular"/>
    <x v="0"/>
    <x v="0"/>
    <x v="0"/>
    <x v="0"/>
    <x v="0"/>
    <x v="0"/>
    <x v="1"/>
    <x v="11"/>
    <n v="0"/>
    <n v="0"/>
    <n v="47.061"/>
    <n v="47.061"/>
    <n v="0"/>
    <n v="0"/>
    <n v="1"/>
    <x v="0"/>
    <n v="0"/>
    <n v="0"/>
    <n v="4"/>
    <n v="0"/>
    <n v="0"/>
    <n v="56.92"/>
    <n v="0"/>
    <m/>
    <n v="101.17512561425467"/>
    <m/>
    <n v="0"/>
    <n v="2678.7121200000001"/>
    <n v="0"/>
    <n v="0"/>
    <n v="4761.4025865324393"/>
    <n v="0"/>
  </r>
  <r>
    <s v="Regular"/>
    <x v="0"/>
    <x v="0"/>
    <x v="0"/>
    <x v="0"/>
    <x v="0"/>
    <x v="0"/>
    <x v="2"/>
    <x v="0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1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2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3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4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5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6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7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8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9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10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0"/>
    <x v="0"/>
    <x v="0"/>
    <x v="0"/>
    <x v="0"/>
    <x v="2"/>
    <x v="11"/>
    <n v="87"/>
    <n v="43.5"/>
    <n v="0"/>
    <n v="0"/>
    <n v="0"/>
    <n v="0"/>
    <n v="0"/>
    <x v="0"/>
    <n v="0"/>
    <n v="3"/>
    <n v="0"/>
    <n v="0"/>
    <n v="78.180000000000007"/>
    <n v="0"/>
    <n v="0"/>
    <n v="92.877947587584202"/>
    <n v="101.17512561425467"/>
    <m/>
    <n v="3400.8300000000004"/>
    <n v="0"/>
    <n v="0"/>
    <n v="4040.190720059913"/>
    <n v="0"/>
    <n v="0"/>
  </r>
  <r>
    <s v="Regular"/>
    <x v="0"/>
    <x v="1"/>
    <x v="1"/>
    <x v="0"/>
    <x v="1"/>
    <x v="0"/>
    <x v="0"/>
    <x v="0"/>
    <n v="0"/>
    <n v="0"/>
    <n v="200.87100000000001"/>
    <n v="200.87100000000001"/>
    <n v="200.87100000000001"/>
    <n v="200.87100000000001"/>
    <n v="0"/>
    <x v="1"/>
    <n v="0"/>
    <n v="0"/>
    <n v="15"/>
    <n v="67"/>
    <n v="0"/>
    <n v="56.92"/>
    <n v="267.91000000000003"/>
    <m/>
    <n v="101.17512561425467"/>
    <n v="185.42082399535556"/>
    <n v="0"/>
    <n v="11433.57732"/>
    <n v="53815.349610000005"/>
    <n v="0"/>
    <n v="20323.14865726095"/>
    <n v="37245.666336771072"/>
  </r>
  <r>
    <s v="Regular"/>
    <x v="0"/>
    <x v="1"/>
    <x v="1"/>
    <x v="0"/>
    <x v="1"/>
    <x v="0"/>
    <x v="0"/>
    <x v="1"/>
    <n v="0"/>
    <n v="0"/>
    <n v="201.52500000000001"/>
    <n v="201.52500000000001"/>
    <n v="201.52500000000001"/>
    <n v="201.52500000000001"/>
    <n v="0"/>
    <x v="1"/>
    <n v="0"/>
    <n v="0"/>
    <n v="15"/>
    <n v="67"/>
    <n v="0"/>
    <n v="56.92"/>
    <n v="267.91000000000003"/>
    <m/>
    <n v="101.17512561425467"/>
    <n v="185.42082399535556"/>
    <n v="0"/>
    <n v="11470.803"/>
    <n v="53990.562750000005"/>
    <n v="0"/>
    <n v="20389.317189412672"/>
    <n v="37366.931555664029"/>
  </r>
  <r>
    <s v="Regular"/>
    <x v="0"/>
    <x v="1"/>
    <x v="1"/>
    <x v="0"/>
    <x v="1"/>
    <x v="0"/>
    <x v="0"/>
    <x v="2"/>
    <n v="0"/>
    <n v="0"/>
    <n v="208.23400000000001"/>
    <n v="208.23400000000001"/>
    <n v="208.23400000000001"/>
    <n v="208.23400000000001"/>
    <n v="0"/>
    <x v="1"/>
    <n v="0"/>
    <n v="0"/>
    <n v="15"/>
    <n v="67"/>
    <n v="0"/>
    <n v="56.92"/>
    <n v="267.91000000000003"/>
    <m/>
    <n v="101.17512561425467"/>
    <n v="185.42082399535556"/>
    <n v="0"/>
    <n v="11852.67928"/>
    <n v="55787.970940000007"/>
    <n v="0"/>
    <n v="21068.101107158709"/>
    <n v="38610.919863848874"/>
  </r>
  <r>
    <s v="Regular"/>
    <x v="0"/>
    <x v="1"/>
    <x v="1"/>
    <x v="0"/>
    <x v="1"/>
    <x v="0"/>
    <x v="0"/>
    <x v="3"/>
    <n v="0"/>
    <n v="0"/>
    <n v="227.43100000000001"/>
    <n v="227.43100000000001"/>
    <n v="227.43100000000001"/>
    <n v="227.43100000000001"/>
    <n v="0"/>
    <x v="1"/>
    <n v="0"/>
    <n v="0"/>
    <n v="15"/>
    <n v="67"/>
    <n v="0"/>
    <n v="56.92"/>
    <n v="267.91000000000003"/>
    <m/>
    <n v="101.17512561425467"/>
    <n v="185.42082399535556"/>
    <n v="0"/>
    <n v="12945.372520000001"/>
    <n v="60931.03921000001"/>
    <n v="0"/>
    <n v="23010.359993575556"/>
    <n v="42170.443422087716"/>
  </r>
  <r>
    <s v="Regular"/>
    <x v="0"/>
    <x v="1"/>
    <x v="1"/>
    <x v="0"/>
    <x v="1"/>
    <x v="0"/>
    <x v="0"/>
    <x v="4"/>
    <n v="0"/>
    <n v="0"/>
    <n v="219.87799999999999"/>
    <n v="219.87799999999999"/>
    <n v="219.87799999999999"/>
    <n v="219.87799999999999"/>
    <n v="0"/>
    <x v="1"/>
    <n v="0"/>
    <n v="0"/>
    <n v="15"/>
    <n v="67"/>
    <n v="0"/>
    <n v="56.92"/>
    <n v="267.91000000000003"/>
    <m/>
    <n v="101.17512561425467"/>
    <n v="185.42082399535556"/>
    <n v="0"/>
    <n v="12515.455759999999"/>
    <n v="58907.51498"/>
    <n v="0"/>
    <n v="22246.184269811085"/>
    <n v="40769.959938450789"/>
  </r>
  <r>
    <s v="Regular"/>
    <x v="0"/>
    <x v="1"/>
    <x v="1"/>
    <x v="0"/>
    <x v="1"/>
    <x v="0"/>
    <x v="0"/>
    <x v="5"/>
    <n v="0"/>
    <n v="0"/>
    <n v="222.27699999999999"/>
    <n v="222.27699999999999"/>
    <n v="222.27699999999999"/>
    <n v="222.27699999999999"/>
    <n v="0"/>
    <x v="1"/>
    <n v="0"/>
    <n v="0"/>
    <n v="15"/>
    <n v="67"/>
    <n v="0"/>
    <n v="56.92"/>
    <n v="267.91000000000003"/>
    <m/>
    <n v="101.17512561425467"/>
    <n v="185.42082399535556"/>
    <n v="0"/>
    <n v="12652.00684"/>
    <n v="59550.231070000002"/>
    <n v="0"/>
    <n v="22488.903396159683"/>
    <n v="41214.784495215645"/>
  </r>
  <r>
    <s v="Regular"/>
    <x v="0"/>
    <x v="1"/>
    <x v="1"/>
    <x v="0"/>
    <x v="1"/>
    <x v="0"/>
    <x v="0"/>
    <x v="6"/>
    <n v="0"/>
    <n v="0"/>
    <n v="279.68700000000001"/>
    <n v="279.68700000000001"/>
    <n v="279.68700000000001"/>
    <n v="279.68700000000001"/>
    <n v="0"/>
    <x v="1"/>
    <n v="0"/>
    <n v="0"/>
    <n v="15"/>
    <n v="67"/>
    <n v="0"/>
    <n v="56.92"/>
    <n v="267.91000000000003"/>
    <m/>
    <n v="101.17512561425467"/>
    <n v="185.42082399535556"/>
    <n v="0"/>
    <n v="15919.78404"/>
    <n v="74930.944170000017"/>
    <n v="0"/>
    <n v="28297.367357674048"/>
    <n v="51859.794000789014"/>
  </r>
  <r>
    <s v="Regular"/>
    <x v="0"/>
    <x v="1"/>
    <x v="1"/>
    <x v="0"/>
    <x v="1"/>
    <x v="0"/>
    <x v="0"/>
    <x v="7"/>
    <n v="0"/>
    <n v="0"/>
    <n v="224.06100000000001"/>
    <n v="224.06100000000001"/>
    <n v="224.06100000000001"/>
    <n v="224.06100000000001"/>
    <n v="0"/>
    <x v="1"/>
    <n v="0"/>
    <n v="0"/>
    <n v="15"/>
    <n v="67"/>
    <n v="0"/>
    <n v="56.92"/>
    <n v="267.91000000000003"/>
    <m/>
    <n v="101.17512561425467"/>
    <n v="185.42082399535556"/>
    <n v="0"/>
    <n v="12753.55212"/>
    <n v="60028.182510000006"/>
    <n v="0"/>
    <n v="22669.399820255516"/>
    <n v="41545.575245223365"/>
  </r>
  <r>
    <s v="Regular"/>
    <x v="0"/>
    <x v="1"/>
    <x v="1"/>
    <x v="0"/>
    <x v="1"/>
    <x v="0"/>
    <x v="0"/>
    <x v="8"/>
    <n v="0"/>
    <n v="0"/>
    <n v="224.512"/>
    <n v="224.512"/>
    <n v="224.512"/>
    <n v="224.512"/>
    <n v="0"/>
    <x v="1"/>
    <n v="0"/>
    <n v="0"/>
    <n v="15"/>
    <n v="67"/>
    <n v="0"/>
    <n v="56.92"/>
    <n v="267.91000000000003"/>
    <m/>
    <n v="101.17512561425467"/>
    <n v="185.42082399535556"/>
    <n v="0"/>
    <n v="12779.223040000001"/>
    <n v="60149.009920000004"/>
    <n v="0"/>
    <n v="22715.029801907545"/>
    <n v="41629.200036845265"/>
  </r>
  <r>
    <s v="Regular"/>
    <x v="0"/>
    <x v="1"/>
    <x v="1"/>
    <x v="0"/>
    <x v="1"/>
    <x v="0"/>
    <x v="0"/>
    <x v="9"/>
    <n v="0"/>
    <n v="0"/>
    <n v="175.81"/>
    <n v="175.81"/>
    <n v="175.81"/>
    <n v="175.81"/>
    <n v="0"/>
    <x v="1"/>
    <n v="0"/>
    <n v="0"/>
    <n v="15"/>
    <n v="67"/>
    <n v="0"/>
    <n v="56.92"/>
    <n v="267.91000000000003"/>
    <m/>
    <n v="101.17512561425467"/>
    <n v="185.42082399535556"/>
    <n v="0"/>
    <n v="10007.1052"/>
    <n v="47101.257100000003"/>
    <n v="0"/>
    <n v="17787.598834242115"/>
    <n v="32598.835066623462"/>
  </r>
  <r>
    <s v="Sistema de Compensação"/>
    <x v="0"/>
    <x v="1"/>
    <x v="1"/>
    <x v="0"/>
    <x v="1"/>
    <x v="0"/>
    <x v="0"/>
    <x v="9"/>
    <n v="0"/>
    <n v="0"/>
    <n v="24.280999999999999"/>
    <n v="24.280999999999999"/>
    <n v="24.280999999999999"/>
    <n v="24.280999999999999"/>
    <n v="0"/>
    <x v="1"/>
    <n v="0"/>
    <n v="0"/>
    <n v="15"/>
    <n v="67"/>
    <n v="0"/>
    <n v="56.92"/>
    <n v="267.91000000000003"/>
    <m/>
    <n v="101.17512561425467"/>
    <n v="185.42082399535556"/>
    <n v="0"/>
    <n v="1382.0745199999999"/>
    <n v="6505.1227100000006"/>
    <n v="0"/>
    <n v="2456.6332250397177"/>
    <n v="4502.2030274312283"/>
  </r>
  <r>
    <s v="Regular"/>
    <x v="0"/>
    <x v="1"/>
    <x v="1"/>
    <x v="0"/>
    <x v="1"/>
    <x v="0"/>
    <x v="0"/>
    <x v="10"/>
    <n v="0"/>
    <n v="0"/>
    <n v="179.95099999999999"/>
    <n v="179.95099999999999"/>
    <n v="179.95099999999999"/>
    <n v="179.95099999999999"/>
    <n v="0"/>
    <x v="1"/>
    <n v="0"/>
    <n v="0"/>
    <n v="15"/>
    <n v="67"/>
    <n v="0"/>
    <n v="56.92"/>
    <n v="267.91000000000003"/>
    <m/>
    <n v="101.17512561425467"/>
    <n v="185.42082399535556"/>
    <n v="0"/>
    <n v="10242.81092"/>
    <n v="48210.672409999999"/>
    <n v="0"/>
    <n v="18206.56502941074"/>
    <n v="33366.662698788226"/>
  </r>
  <r>
    <s v="Sistema de Compensação"/>
    <x v="0"/>
    <x v="1"/>
    <x v="1"/>
    <x v="0"/>
    <x v="1"/>
    <x v="0"/>
    <x v="0"/>
    <x v="10"/>
    <n v="0"/>
    <n v="0"/>
    <n v="30.029"/>
    <n v="30.029"/>
    <n v="30.029"/>
    <n v="30.029"/>
    <n v="0"/>
    <x v="1"/>
    <n v="0"/>
    <n v="0"/>
    <n v="15"/>
    <n v="67"/>
    <n v="0"/>
    <n v="56.92"/>
    <n v="267.91000000000003"/>
    <m/>
    <n v="101.17512561425467"/>
    <n v="185.42082399535556"/>
    <n v="0"/>
    <n v="1709.2506800000001"/>
    <n v="8045.0693900000006"/>
    <n v="0"/>
    <n v="3038.1878470704532"/>
    <n v="5568.0019237565321"/>
  </r>
  <r>
    <s v="Regular"/>
    <x v="0"/>
    <x v="1"/>
    <x v="1"/>
    <x v="0"/>
    <x v="1"/>
    <x v="0"/>
    <x v="0"/>
    <x v="11"/>
    <n v="0"/>
    <n v="0"/>
    <n v="224.81299999999999"/>
    <n v="224.81299999999999"/>
    <n v="224.81299999999999"/>
    <n v="224.81299999999999"/>
    <n v="0"/>
    <x v="1"/>
    <n v="0"/>
    <n v="0"/>
    <n v="15"/>
    <n v="67"/>
    <n v="0"/>
    <n v="56.92"/>
    <n v="267.91000000000003"/>
    <m/>
    <n v="101.17512561425467"/>
    <n v="185.42082399535556"/>
    <n v="0"/>
    <n v="12796.355959999999"/>
    <n v="60229.650830000006"/>
    <n v="0"/>
    <n v="22745.483514717434"/>
    <n v="41685.011704867866"/>
  </r>
  <r>
    <s v="Sistema de Compensação"/>
    <x v="0"/>
    <x v="1"/>
    <x v="1"/>
    <x v="0"/>
    <x v="1"/>
    <x v="0"/>
    <x v="0"/>
    <x v="11"/>
    <n v="0"/>
    <n v="0"/>
    <n v="28.870999999999999"/>
    <n v="28.870999999999999"/>
    <n v="28.870999999999999"/>
    <n v="28.870999999999999"/>
    <n v="0"/>
    <x v="1"/>
    <n v="0"/>
    <n v="0"/>
    <n v="15"/>
    <n v="67"/>
    <n v="0"/>
    <n v="56.92"/>
    <n v="267.91000000000003"/>
    <m/>
    <n v="101.17512561425467"/>
    <n v="185.42082399535556"/>
    <n v="0"/>
    <n v="1643.3373199999999"/>
    <n v="7734.8296100000007"/>
    <n v="0"/>
    <n v="2921.0270516091464"/>
    <n v="5353.2846095699106"/>
  </r>
  <r>
    <s v="Regular"/>
    <x v="0"/>
    <x v="1"/>
    <x v="1"/>
    <x v="0"/>
    <x v="1"/>
    <x v="0"/>
    <x v="1"/>
    <x v="0"/>
    <n v="1155"/>
    <n v="1155"/>
    <n v="0"/>
    <n v="0"/>
    <n v="0"/>
    <n v="0"/>
    <n v="11"/>
    <x v="1"/>
    <n v="0"/>
    <n v="22"/>
    <n v="0"/>
    <n v="0"/>
    <n v="22.34"/>
    <n v="0"/>
    <n v="0"/>
    <n v="30.26225635308667"/>
    <m/>
    <m/>
    <n v="25802.7"/>
    <n v="0"/>
    <n v="0"/>
    <n v="34952.906087815107"/>
    <n v="0"/>
    <n v="0"/>
  </r>
  <r>
    <s v="Refaturamento - Regular"/>
    <x v="0"/>
    <x v="1"/>
    <x v="1"/>
    <x v="0"/>
    <x v="1"/>
    <x v="0"/>
    <x v="1"/>
    <x v="0"/>
    <n v="-60"/>
    <n v="-60"/>
    <n v="0"/>
    <n v="0"/>
    <n v="0"/>
    <n v="0"/>
    <n v="0"/>
    <x v="1"/>
    <n v="0"/>
    <n v="22"/>
    <n v="0"/>
    <n v="0"/>
    <n v="22.34"/>
    <n v="0"/>
    <n v="0"/>
    <n v="30.26225635308667"/>
    <m/>
    <m/>
    <n v="-1340.4"/>
    <n v="0"/>
    <n v="0"/>
    <n v="-1815.7353811852001"/>
    <n v="0"/>
    <n v="0"/>
  </r>
  <r>
    <s v="Sistema de Compensação"/>
    <x v="0"/>
    <x v="1"/>
    <x v="1"/>
    <x v="0"/>
    <x v="1"/>
    <x v="0"/>
    <x v="1"/>
    <x v="0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1"/>
    <n v="1178"/>
    <n v="1178"/>
    <n v="0"/>
    <n v="0"/>
    <n v="0"/>
    <n v="0"/>
    <n v="12"/>
    <x v="1"/>
    <n v="0"/>
    <n v="22"/>
    <n v="0"/>
    <n v="0"/>
    <n v="22.34"/>
    <n v="0"/>
    <n v="0"/>
    <n v="30.26225635308667"/>
    <m/>
    <m/>
    <n v="26316.52"/>
    <n v="0"/>
    <n v="0"/>
    <n v="35648.937983936099"/>
    <n v="0"/>
    <n v="0"/>
  </r>
  <r>
    <s v="Sistema de Compensação"/>
    <x v="0"/>
    <x v="1"/>
    <x v="1"/>
    <x v="0"/>
    <x v="1"/>
    <x v="0"/>
    <x v="1"/>
    <x v="1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2"/>
    <n v="1282"/>
    <n v="1282"/>
    <n v="0"/>
    <n v="0"/>
    <n v="0"/>
    <n v="0"/>
    <n v="12"/>
    <x v="1"/>
    <n v="0"/>
    <n v="22"/>
    <n v="0"/>
    <n v="0"/>
    <n v="22.34"/>
    <n v="0"/>
    <n v="0"/>
    <n v="30.26225635308667"/>
    <m/>
    <m/>
    <n v="28639.88"/>
    <n v="0"/>
    <n v="0"/>
    <n v="38796.212644657113"/>
    <n v="0"/>
    <n v="0"/>
  </r>
  <r>
    <s v="Sistema de Compensação"/>
    <x v="0"/>
    <x v="1"/>
    <x v="1"/>
    <x v="0"/>
    <x v="1"/>
    <x v="0"/>
    <x v="1"/>
    <x v="2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3"/>
    <n v="1284"/>
    <n v="1284"/>
    <n v="0"/>
    <n v="0"/>
    <n v="0"/>
    <n v="0"/>
    <n v="12"/>
    <x v="1"/>
    <n v="0"/>
    <n v="22"/>
    <n v="0"/>
    <n v="0"/>
    <n v="22.34"/>
    <n v="0"/>
    <n v="0"/>
    <n v="30.26225635308667"/>
    <m/>
    <m/>
    <n v="28684.560000000001"/>
    <n v="0"/>
    <n v="0"/>
    <n v="38856.737157363284"/>
    <n v="0"/>
    <n v="0"/>
  </r>
  <r>
    <s v="Sistema de Compensação"/>
    <x v="0"/>
    <x v="1"/>
    <x v="1"/>
    <x v="0"/>
    <x v="1"/>
    <x v="0"/>
    <x v="1"/>
    <x v="3"/>
    <n v="198"/>
    <n v="198"/>
    <n v="0"/>
    <n v="0"/>
    <n v="0"/>
    <n v="0"/>
    <n v="1"/>
    <x v="1"/>
    <n v="0"/>
    <n v="22"/>
    <n v="0"/>
    <n v="0"/>
    <n v="22.34"/>
    <n v="0"/>
    <n v="0"/>
    <n v="30.26225635308667"/>
    <m/>
    <m/>
    <n v="4423.32"/>
    <n v="0"/>
    <n v="0"/>
    <n v="5991.9267579111611"/>
    <n v="0"/>
    <n v="0"/>
  </r>
  <r>
    <s v="Regular"/>
    <x v="0"/>
    <x v="1"/>
    <x v="1"/>
    <x v="0"/>
    <x v="1"/>
    <x v="0"/>
    <x v="1"/>
    <x v="4"/>
    <n v="1365"/>
    <n v="1365"/>
    <n v="0"/>
    <n v="0"/>
    <n v="0"/>
    <n v="0"/>
    <n v="12"/>
    <x v="1"/>
    <n v="0"/>
    <n v="22"/>
    <n v="0"/>
    <n v="0"/>
    <n v="22.34"/>
    <n v="0"/>
    <n v="0"/>
    <n v="30.26225635308667"/>
    <m/>
    <m/>
    <n v="30494.1"/>
    <n v="0"/>
    <n v="0"/>
    <n v="41307.979921963306"/>
    <n v="0"/>
    <n v="0"/>
  </r>
  <r>
    <s v="Sistema de Compensação"/>
    <x v="0"/>
    <x v="1"/>
    <x v="1"/>
    <x v="0"/>
    <x v="1"/>
    <x v="0"/>
    <x v="1"/>
    <x v="4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5"/>
    <n v="1387"/>
    <n v="1387"/>
    <n v="0"/>
    <n v="0"/>
    <n v="0"/>
    <n v="0"/>
    <n v="12"/>
    <x v="1"/>
    <n v="0"/>
    <n v="22"/>
    <n v="0"/>
    <n v="0"/>
    <n v="22.34"/>
    <n v="0"/>
    <n v="0"/>
    <n v="30.26225635308667"/>
    <m/>
    <m/>
    <n v="30985.579999999998"/>
    <n v="0"/>
    <n v="0"/>
    <n v="41973.749561731209"/>
    <n v="0"/>
    <n v="0"/>
  </r>
  <r>
    <s v="Sistema de Compensação"/>
    <x v="0"/>
    <x v="1"/>
    <x v="1"/>
    <x v="0"/>
    <x v="1"/>
    <x v="0"/>
    <x v="1"/>
    <x v="5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6"/>
    <n v="1462"/>
    <n v="1462"/>
    <n v="0"/>
    <n v="0"/>
    <n v="0"/>
    <n v="0"/>
    <n v="12"/>
    <x v="1"/>
    <n v="0"/>
    <n v="22"/>
    <n v="0"/>
    <n v="0"/>
    <n v="22.34"/>
    <n v="0"/>
    <n v="0"/>
    <n v="30.26225635308667"/>
    <m/>
    <m/>
    <n v="32661.079999999998"/>
    <n v="0"/>
    <n v="0"/>
    <n v="44243.418788212708"/>
    <n v="0"/>
    <n v="0"/>
  </r>
  <r>
    <s v="Sistema de Compensação"/>
    <x v="0"/>
    <x v="1"/>
    <x v="1"/>
    <x v="0"/>
    <x v="1"/>
    <x v="0"/>
    <x v="1"/>
    <x v="6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7"/>
    <n v="1413"/>
    <n v="1413"/>
    <n v="0"/>
    <n v="0"/>
    <n v="0"/>
    <n v="0"/>
    <n v="12"/>
    <x v="1"/>
    <n v="0"/>
    <n v="22"/>
    <n v="0"/>
    <n v="0"/>
    <n v="22.34"/>
    <n v="0"/>
    <n v="0"/>
    <n v="30.26225635308667"/>
    <m/>
    <m/>
    <n v="31566.42"/>
    <n v="0"/>
    <n v="0"/>
    <n v="42760.568226911462"/>
    <n v="0"/>
    <n v="0"/>
  </r>
  <r>
    <s v="Sistema de Compensação"/>
    <x v="0"/>
    <x v="1"/>
    <x v="1"/>
    <x v="0"/>
    <x v="1"/>
    <x v="0"/>
    <x v="1"/>
    <x v="7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8"/>
    <n v="1443"/>
    <n v="1443"/>
    <n v="0"/>
    <n v="0"/>
    <n v="0"/>
    <n v="0"/>
    <n v="13"/>
    <x v="1"/>
    <n v="0"/>
    <n v="22"/>
    <n v="0"/>
    <n v="0"/>
    <n v="22.34"/>
    <n v="0"/>
    <n v="0"/>
    <n v="30.26225635308667"/>
    <m/>
    <m/>
    <n v="32236.62"/>
    <n v="0"/>
    <n v="0"/>
    <n v="43668.435917504066"/>
    <n v="0"/>
    <n v="0"/>
  </r>
  <r>
    <s v="Sistema de Compensação"/>
    <x v="0"/>
    <x v="1"/>
    <x v="1"/>
    <x v="0"/>
    <x v="1"/>
    <x v="0"/>
    <x v="1"/>
    <x v="8"/>
    <n v="180"/>
    <n v="180"/>
    <n v="0"/>
    <n v="0"/>
    <n v="0"/>
    <n v="0"/>
    <n v="1"/>
    <x v="1"/>
    <n v="0"/>
    <n v="22"/>
    <n v="0"/>
    <n v="0"/>
    <n v="22.34"/>
    <n v="0"/>
    <n v="0"/>
    <n v="30.26225635308667"/>
    <m/>
    <m/>
    <n v="4021.2"/>
    <n v="0"/>
    <n v="0"/>
    <n v="5447.2061435556006"/>
    <n v="0"/>
    <n v="0"/>
  </r>
  <r>
    <s v="Regular"/>
    <x v="0"/>
    <x v="1"/>
    <x v="1"/>
    <x v="0"/>
    <x v="1"/>
    <x v="0"/>
    <x v="1"/>
    <x v="9"/>
    <n v="1264"/>
    <n v="1264"/>
    <n v="0"/>
    <n v="0"/>
    <n v="0"/>
    <n v="0"/>
    <n v="13"/>
    <x v="1"/>
    <n v="0"/>
    <n v="22"/>
    <n v="0"/>
    <n v="0"/>
    <n v="22.34"/>
    <n v="0"/>
    <n v="0"/>
    <n v="30.26225635308667"/>
    <m/>
    <m/>
    <n v="28237.759999999998"/>
    <n v="0"/>
    <n v="0"/>
    <n v="38251.492030301553"/>
    <n v="0"/>
    <n v="0"/>
  </r>
  <r>
    <s v="Sistema de Compensação"/>
    <x v="0"/>
    <x v="1"/>
    <x v="1"/>
    <x v="0"/>
    <x v="1"/>
    <x v="0"/>
    <x v="1"/>
    <x v="9"/>
    <n v="330"/>
    <n v="330"/>
    <n v="0"/>
    <n v="0"/>
    <n v="0"/>
    <n v="0"/>
    <n v="2"/>
    <x v="1"/>
    <n v="0"/>
    <n v="22"/>
    <n v="0"/>
    <n v="0"/>
    <n v="22.34"/>
    <n v="0"/>
    <n v="0"/>
    <n v="30.26225635308667"/>
    <m/>
    <m/>
    <n v="7372.2"/>
    <n v="0"/>
    <n v="0"/>
    <n v="9986.5445965186009"/>
    <n v="0"/>
    <n v="0"/>
  </r>
  <r>
    <s v="Regular"/>
    <x v="0"/>
    <x v="1"/>
    <x v="1"/>
    <x v="0"/>
    <x v="1"/>
    <x v="0"/>
    <x v="1"/>
    <x v="10"/>
    <n v="1348"/>
    <n v="1348"/>
    <n v="0"/>
    <n v="0"/>
    <n v="0"/>
    <n v="0"/>
    <n v="13"/>
    <x v="1"/>
    <n v="0"/>
    <n v="22"/>
    <n v="0"/>
    <n v="0"/>
    <n v="22.34"/>
    <n v="0"/>
    <n v="0"/>
    <n v="30.26225635308667"/>
    <m/>
    <m/>
    <n v="30114.32"/>
    <n v="0"/>
    <n v="0"/>
    <n v="40793.521563960829"/>
    <n v="0"/>
    <n v="0"/>
  </r>
  <r>
    <s v="Sistema de Compensação"/>
    <x v="0"/>
    <x v="1"/>
    <x v="1"/>
    <x v="0"/>
    <x v="1"/>
    <x v="0"/>
    <x v="1"/>
    <x v="10"/>
    <n v="330"/>
    <n v="330"/>
    <n v="0"/>
    <n v="0"/>
    <n v="0"/>
    <n v="0"/>
    <n v="2"/>
    <x v="1"/>
    <n v="0"/>
    <n v="22"/>
    <n v="0"/>
    <n v="0"/>
    <n v="22.34"/>
    <n v="0"/>
    <n v="0"/>
    <n v="30.26225635308667"/>
    <m/>
    <m/>
    <n v="7372.2"/>
    <n v="0"/>
    <n v="0"/>
    <n v="9986.5445965186009"/>
    <n v="0"/>
    <n v="0"/>
  </r>
  <r>
    <s v="Regular"/>
    <x v="0"/>
    <x v="1"/>
    <x v="1"/>
    <x v="0"/>
    <x v="1"/>
    <x v="0"/>
    <x v="1"/>
    <x v="11"/>
    <n v="1418"/>
    <n v="1418"/>
    <n v="0"/>
    <n v="0"/>
    <n v="0"/>
    <n v="0"/>
    <n v="13"/>
    <x v="1"/>
    <n v="0"/>
    <n v="22"/>
    <n v="0"/>
    <n v="0"/>
    <n v="22.34"/>
    <n v="0"/>
    <n v="0"/>
    <n v="30.26225635308667"/>
    <m/>
    <m/>
    <n v="31678.12"/>
    <n v="0"/>
    <n v="0"/>
    <n v="42911.879508676895"/>
    <n v="0"/>
    <n v="0"/>
  </r>
  <r>
    <s v="Sistema de Compensação"/>
    <x v="0"/>
    <x v="1"/>
    <x v="1"/>
    <x v="0"/>
    <x v="1"/>
    <x v="0"/>
    <x v="1"/>
    <x v="11"/>
    <n v="330"/>
    <n v="330"/>
    <n v="0"/>
    <n v="0"/>
    <n v="0"/>
    <n v="0"/>
    <n v="2"/>
    <x v="1"/>
    <n v="0"/>
    <n v="22"/>
    <n v="0"/>
    <n v="0"/>
    <n v="22.34"/>
    <n v="0"/>
    <n v="0"/>
    <n v="30.26225635308667"/>
    <m/>
    <m/>
    <n v="7372.2"/>
    <n v="0"/>
    <n v="0"/>
    <n v="9986.5445965186009"/>
    <n v="0"/>
    <n v="0"/>
  </r>
  <r>
    <s v="Regular"/>
    <x v="0"/>
    <x v="1"/>
    <x v="1"/>
    <x v="0"/>
    <x v="1"/>
    <x v="0"/>
    <x v="2"/>
    <x v="0"/>
    <n v="0"/>
    <n v="0"/>
    <n v="15.021000000000001"/>
    <n v="15.021000000000001"/>
    <n v="15.021000000000001"/>
    <n v="15.021000000000001"/>
    <n v="0"/>
    <x v="1"/>
    <n v="0"/>
    <n v="0"/>
    <n v="33"/>
    <n v="51"/>
    <n v="0"/>
    <n v="1936.94"/>
    <n v="267.91000000000003"/>
    <m/>
    <n v="2334.812641231822"/>
    <n v="185.42082399535556"/>
    <n v="0"/>
    <n v="29094.775740000001"/>
    <n v="4024.2761100000007"/>
    <n v="0"/>
    <n v="35071.220683943196"/>
    <n v="2785.2061972342362"/>
  </r>
  <r>
    <s v="Regular"/>
    <x v="0"/>
    <x v="1"/>
    <x v="1"/>
    <x v="0"/>
    <x v="1"/>
    <x v="0"/>
    <x v="2"/>
    <x v="1"/>
    <n v="0"/>
    <n v="0"/>
    <n v="13.276999999999999"/>
    <n v="13.276999999999999"/>
    <n v="13.276999999999999"/>
    <n v="13.276999999999999"/>
    <n v="0"/>
    <x v="1"/>
    <n v="0"/>
    <n v="0"/>
    <n v="33"/>
    <n v="51"/>
    <n v="0"/>
    <n v="1936.94"/>
    <n v="267.91000000000003"/>
    <m/>
    <n v="2334.812641231822"/>
    <n v="185.42082399535556"/>
    <n v="0"/>
    <n v="25716.752379999998"/>
    <n v="3557.0410700000002"/>
    <n v="0"/>
    <n v="30999.3074376349"/>
    <n v="2461.8322801863355"/>
  </r>
  <r>
    <s v="Regular"/>
    <x v="0"/>
    <x v="1"/>
    <x v="1"/>
    <x v="0"/>
    <x v="1"/>
    <x v="0"/>
    <x v="2"/>
    <x v="2"/>
    <n v="0"/>
    <n v="0"/>
    <n v="13.112"/>
    <n v="13.112"/>
    <n v="13.112"/>
    <n v="13.112"/>
    <n v="0"/>
    <x v="1"/>
    <n v="0"/>
    <n v="0"/>
    <n v="33"/>
    <n v="51"/>
    <n v="0"/>
    <n v="1936.94"/>
    <n v="267.91000000000003"/>
    <m/>
    <n v="2334.812641231822"/>
    <n v="185.42082399535556"/>
    <n v="0"/>
    <n v="25397.157279999999"/>
    <n v="3512.8359200000004"/>
    <n v="0"/>
    <n v="30614.06335183165"/>
    <n v="2431.237844227102"/>
  </r>
  <r>
    <s v="Regular"/>
    <x v="0"/>
    <x v="1"/>
    <x v="1"/>
    <x v="0"/>
    <x v="1"/>
    <x v="0"/>
    <x v="2"/>
    <x v="3"/>
    <n v="0"/>
    <n v="0"/>
    <n v="14.544"/>
    <n v="14.544"/>
    <n v="14.544"/>
    <n v="14.544"/>
    <n v="0"/>
    <x v="1"/>
    <n v="0"/>
    <n v="0"/>
    <n v="33"/>
    <n v="51"/>
    <n v="0"/>
    <n v="1936.94"/>
    <n v="267.91000000000003"/>
    <m/>
    <n v="2334.812641231822"/>
    <n v="185.42082399535556"/>
    <n v="0"/>
    <n v="28170.855360000001"/>
    <n v="3896.4830400000005"/>
    <n v="0"/>
    <n v="33957.515054075622"/>
    <n v="2696.7604641884514"/>
  </r>
  <r>
    <s v="Regular"/>
    <x v="0"/>
    <x v="1"/>
    <x v="1"/>
    <x v="0"/>
    <x v="1"/>
    <x v="0"/>
    <x v="2"/>
    <x v="4"/>
    <n v="0"/>
    <n v="0"/>
    <n v="13.667999999999999"/>
    <n v="13.667999999999999"/>
    <n v="13.667999999999999"/>
    <n v="13.667999999999999"/>
    <n v="0"/>
    <x v="1"/>
    <n v="0"/>
    <n v="0"/>
    <n v="33"/>
    <n v="51"/>
    <n v="0"/>
    <n v="1936.94"/>
    <n v="267.91000000000003"/>
    <m/>
    <n v="2334.812641231822"/>
    <n v="185.42082399535556"/>
    <n v="0"/>
    <n v="26474.09592"/>
    <n v="3661.7938800000002"/>
    <n v="0"/>
    <n v="31912.21918035654"/>
    <n v="2534.3318223685196"/>
  </r>
  <r>
    <s v="Regular"/>
    <x v="0"/>
    <x v="1"/>
    <x v="1"/>
    <x v="0"/>
    <x v="1"/>
    <x v="0"/>
    <x v="2"/>
    <x v="5"/>
    <n v="0"/>
    <n v="0"/>
    <n v="14.003"/>
    <n v="14.003"/>
    <n v="14.003"/>
    <n v="14.003"/>
    <n v="0"/>
    <x v="1"/>
    <n v="0"/>
    <n v="0"/>
    <n v="33"/>
    <n v="51"/>
    <n v="0"/>
    <n v="1936.94"/>
    <n v="267.91000000000003"/>
    <m/>
    <n v="2334.812641231822"/>
    <n v="185.42082399535556"/>
    <n v="0"/>
    <n v="27122.970820000002"/>
    <n v="3751.5437300000003"/>
    <n v="0"/>
    <n v="32694.381415169202"/>
    <n v="2596.447798406964"/>
  </r>
  <r>
    <s v="Regular"/>
    <x v="0"/>
    <x v="1"/>
    <x v="1"/>
    <x v="0"/>
    <x v="1"/>
    <x v="0"/>
    <x v="2"/>
    <x v="6"/>
    <n v="0"/>
    <n v="0"/>
    <n v="18.274000000000001"/>
    <n v="18.274000000000001"/>
    <n v="18.274000000000001"/>
    <n v="18.274000000000001"/>
    <n v="0"/>
    <x v="1"/>
    <n v="0"/>
    <n v="0"/>
    <n v="33"/>
    <n v="51"/>
    <n v="0"/>
    <n v="1936.94"/>
    <n v="267.91000000000003"/>
    <m/>
    <n v="2334.812641231822"/>
    <n v="185.42082399535556"/>
    <n v="0"/>
    <n v="35395.641560000004"/>
    <n v="4895.7873400000008"/>
    <n v="0"/>
    <n v="42666.366205870319"/>
    <n v="3388.3801376911279"/>
  </r>
  <r>
    <s v="Regular"/>
    <x v="0"/>
    <x v="1"/>
    <x v="1"/>
    <x v="0"/>
    <x v="1"/>
    <x v="0"/>
    <x v="2"/>
    <x v="7"/>
    <n v="0"/>
    <n v="0"/>
    <n v="13.189"/>
    <n v="13.189"/>
    <n v="13.189"/>
    <n v="13.189"/>
    <n v="0"/>
    <x v="1"/>
    <n v="0"/>
    <n v="0"/>
    <n v="33"/>
    <n v="51"/>
    <n v="0"/>
    <n v="1936.94"/>
    <n v="267.91000000000003"/>
    <m/>
    <n v="2334.812641231822"/>
    <n v="185.42082399535556"/>
    <n v="0"/>
    <n v="25546.301660000001"/>
    <n v="3533.4649900000004"/>
    <n v="0"/>
    <n v="30793.8439252065"/>
    <n v="2445.5152476747444"/>
  </r>
  <r>
    <s v="Regular"/>
    <x v="0"/>
    <x v="1"/>
    <x v="1"/>
    <x v="0"/>
    <x v="1"/>
    <x v="0"/>
    <x v="2"/>
    <x v="8"/>
    <n v="0"/>
    <n v="0"/>
    <n v="17.379000000000001"/>
    <n v="17.379000000000001"/>
    <n v="17.379000000000001"/>
    <n v="17.379000000000001"/>
    <n v="0"/>
    <x v="1"/>
    <n v="0"/>
    <n v="0"/>
    <n v="33"/>
    <n v="51"/>
    <n v="0"/>
    <n v="1936.94"/>
    <n v="267.91000000000003"/>
    <m/>
    <n v="2334.812641231822"/>
    <n v="185.42082399535556"/>
    <n v="0"/>
    <n v="33662.080260000002"/>
    <n v="4656.0078900000008"/>
    <n v="0"/>
    <n v="40576.708891967835"/>
    <n v="3222.4285002152847"/>
  </r>
  <r>
    <s v="Regular"/>
    <x v="0"/>
    <x v="1"/>
    <x v="1"/>
    <x v="0"/>
    <x v="1"/>
    <x v="0"/>
    <x v="2"/>
    <x v="9"/>
    <n v="0"/>
    <n v="0"/>
    <n v="6.5350000000000001"/>
    <n v="6.5350000000000001"/>
    <n v="6.5350000000000001"/>
    <n v="6.5350000000000001"/>
    <n v="0"/>
    <x v="1"/>
    <n v="0"/>
    <n v="0"/>
    <n v="33"/>
    <n v="51"/>
    <n v="0"/>
    <n v="1936.94"/>
    <n v="267.91000000000003"/>
    <m/>
    <n v="2334.812641231822"/>
    <n v="185.42082399535556"/>
    <n v="0"/>
    <n v="12657.902900000001"/>
    <n v="1750.7918500000003"/>
    <n v="0"/>
    <n v="15258.000610449957"/>
    <n v="1211.7250848096487"/>
  </r>
  <r>
    <s v="Sistema de Compensação"/>
    <x v="0"/>
    <x v="1"/>
    <x v="1"/>
    <x v="0"/>
    <x v="1"/>
    <x v="0"/>
    <x v="2"/>
    <x v="9"/>
    <n v="0"/>
    <n v="0"/>
    <n v="6.15"/>
    <n v="6.15"/>
    <n v="6.15"/>
    <n v="6.15"/>
    <n v="0"/>
    <x v="1"/>
    <n v="0"/>
    <n v="0"/>
    <n v="33"/>
    <n v="51"/>
    <n v="0"/>
    <n v="1936.94"/>
    <n v="267.91000000000003"/>
    <m/>
    <n v="2334.812641231822"/>
    <n v="185.42082399535556"/>
    <n v="0"/>
    <n v="11912.181"/>
    <n v="1647.6465000000003"/>
    <n v="0"/>
    <n v="14359.097743575707"/>
    <n v="1140.3380675714368"/>
  </r>
  <r>
    <s v="Regular"/>
    <x v="0"/>
    <x v="1"/>
    <x v="1"/>
    <x v="0"/>
    <x v="1"/>
    <x v="0"/>
    <x v="2"/>
    <x v="10"/>
    <n v="0"/>
    <n v="0"/>
    <n v="8.6159999999999997"/>
    <n v="8.6159999999999997"/>
    <n v="8.6159999999999997"/>
    <n v="8.6159999999999997"/>
    <n v="0"/>
    <x v="1"/>
    <n v="0"/>
    <n v="0"/>
    <n v="33"/>
    <n v="51"/>
    <n v="0"/>
    <n v="1936.94"/>
    <n v="267.91000000000003"/>
    <m/>
    <n v="2334.812641231822"/>
    <n v="185.42082399535556"/>
    <n v="0"/>
    <n v="16688.675039999998"/>
    <n v="2308.3125600000003"/>
    <n v="0"/>
    <n v="20116.745716853377"/>
    <n v="1597.5858195439835"/>
  </r>
  <r>
    <s v="Sistema de Compensação"/>
    <x v="0"/>
    <x v="1"/>
    <x v="1"/>
    <x v="0"/>
    <x v="1"/>
    <x v="0"/>
    <x v="2"/>
    <x v="10"/>
    <n v="0"/>
    <n v="0"/>
    <n v="6.3049999999999997"/>
    <n v="6.3049999999999997"/>
    <n v="6.3049999999999997"/>
    <n v="6.3049999999999997"/>
    <n v="0"/>
    <x v="1"/>
    <n v="0"/>
    <n v="0"/>
    <n v="33"/>
    <n v="51"/>
    <n v="0"/>
    <n v="1936.94"/>
    <n v="267.91000000000003"/>
    <m/>
    <n v="2334.812641231822"/>
    <n v="185.42082399535556"/>
    <n v="0"/>
    <n v="12212.4067"/>
    <n v="1689.17255"/>
    <n v="0"/>
    <n v="14720.993702966636"/>
    <n v="1169.0782952907168"/>
  </r>
  <r>
    <s v="Regular"/>
    <x v="0"/>
    <x v="1"/>
    <x v="1"/>
    <x v="0"/>
    <x v="1"/>
    <x v="0"/>
    <x v="2"/>
    <x v="11"/>
    <n v="0"/>
    <n v="0"/>
    <n v="10.728"/>
    <n v="10.728"/>
    <n v="10.728"/>
    <n v="10.728"/>
    <n v="0"/>
    <x v="1"/>
    <n v="0"/>
    <n v="0"/>
    <n v="33"/>
    <n v="51"/>
    <n v="0"/>
    <n v="1936.94"/>
    <n v="267.91000000000003"/>
    <m/>
    <n v="2334.812641231822"/>
    <n v="185.42082399535556"/>
    <n v="0"/>
    <n v="20779.492320000001"/>
    <n v="2874.1384800000001"/>
    <n v="0"/>
    <n v="25047.870015134988"/>
    <n v="1989.1945998221745"/>
  </r>
  <r>
    <s v="Sistema de Compensação"/>
    <x v="0"/>
    <x v="1"/>
    <x v="1"/>
    <x v="0"/>
    <x v="1"/>
    <x v="0"/>
    <x v="2"/>
    <x v="11"/>
    <n v="0"/>
    <n v="0"/>
    <n v="6.524"/>
    <n v="6.524"/>
    <n v="6.524"/>
    <n v="6.524"/>
    <n v="0"/>
    <x v="1"/>
    <n v="0"/>
    <n v="0"/>
    <n v="33"/>
    <n v="51"/>
    <n v="0"/>
    <n v="1936.94"/>
    <n v="267.91000000000003"/>
    <m/>
    <n v="2334.812641231822"/>
    <n v="185.42082399535556"/>
    <n v="0"/>
    <n v="12636.59656"/>
    <n v="1747.8448400000002"/>
    <n v="0"/>
    <n v="15232.317671396408"/>
    <n v="1209.6854557456998"/>
  </r>
  <r>
    <s v="Regular"/>
    <x v="0"/>
    <x v="1"/>
    <x v="0"/>
    <x v="0"/>
    <x v="0"/>
    <x v="0"/>
    <x v="0"/>
    <x v="0"/>
    <n v="0"/>
    <n v="0"/>
    <n v="257.48399999999998"/>
    <n v="257.48399999999998"/>
    <n v="0"/>
    <n v="0"/>
    <n v="0"/>
    <x v="0"/>
    <n v="0"/>
    <n v="0"/>
    <n v="15"/>
    <n v="0"/>
    <n v="0"/>
    <n v="56.92"/>
    <n v="0"/>
    <m/>
    <n v="101.17512561425467"/>
    <m/>
    <n v="0"/>
    <n v="14655.98928"/>
    <n v="0"/>
    <n v="0"/>
    <n v="26050.976043660747"/>
    <n v="0"/>
  </r>
  <r>
    <s v="Regular"/>
    <x v="0"/>
    <x v="1"/>
    <x v="0"/>
    <x v="0"/>
    <x v="0"/>
    <x v="0"/>
    <x v="0"/>
    <x v="1"/>
    <n v="0"/>
    <n v="0"/>
    <n v="278.851"/>
    <n v="278.851"/>
    <n v="0"/>
    <n v="0"/>
    <n v="0"/>
    <x v="0"/>
    <n v="0"/>
    <n v="0"/>
    <n v="15"/>
    <n v="0"/>
    <n v="0"/>
    <n v="56.92"/>
    <n v="0"/>
    <m/>
    <n v="101.17512561425467"/>
    <m/>
    <n v="0"/>
    <n v="15872.198920000001"/>
    <n v="0"/>
    <n v="0"/>
    <n v="28212.784952660528"/>
    <n v="0"/>
  </r>
  <r>
    <s v="Regular"/>
    <x v="0"/>
    <x v="1"/>
    <x v="0"/>
    <x v="0"/>
    <x v="0"/>
    <x v="0"/>
    <x v="0"/>
    <x v="2"/>
    <n v="0"/>
    <n v="0"/>
    <n v="274.83199999999999"/>
    <n v="274.83199999999999"/>
    <n v="0"/>
    <n v="0"/>
    <n v="0"/>
    <x v="0"/>
    <n v="0"/>
    <n v="0"/>
    <n v="15"/>
    <n v="0"/>
    <n v="0"/>
    <n v="56.92"/>
    <n v="0"/>
    <m/>
    <n v="101.17512561425467"/>
    <m/>
    <n v="0"/>
    <n v="15643.43744"/>
    <n v="0"/>
    <n v="0"/>
    <n v="27806.162122816837"/>
    <n v="0"/>
  </r>
  <r>
    <s v="Regular"/>
    <x v="0"/>
    <x v="1"/>
    <x v="0"/>
    <x v="0"/>
    <x v="0"/>
    <x v="0"/>
    <x v="0"/>
    <x v="3"/>
    <n v="0"/>
    <n v="0"/>
    <n v="208.74100000000001"/>
    <n v="208.74100000000001"/>
    <n v="0"/>
    <n v="0"/>
    <n v="0"/>
    <x v="0"/>
    <n v="0"/>
    <n v="0"/>
    <n v="15"/>
    <n v="0"/>
    <n v="0"/>
    <n v="56.92"/>
    <n v="0"/>
    <m/>
    <n v="101.17512561425467"/>
    <m/>
    <n v="0"/>
    <n v="11881.53772"/>
    <n v="0"/>
    <n v="0"/>
    <n v="21119.396895845133"/>
    <n v="0"/>
  </r>
  <r>
    <s v="Regular"/>
    <x v="0"/>
    <x v="1"/>
    <x v="0"/>
    <x v="0"/>
    <x v="0"/>
    <x v="0"/>
    <x v="0"/>
    <x v="4"/>
    <n v="0"/>
    <n v="0"/>
    <n v="280.149"/>
    <n v="280.149"/>
    <n v="0"/>
    <n v="0"/>
    <n v="0"/>
    <x v="0"/>
    <n v="0"/>
    <n v="0"/>
    <n v="15"/>
    <n v="0"/>
    <n v="0"/>
    <n v="56.92"/>
    <n v="0"/>
    <m/>
    <n v="101.17512561425467"/>
    <m/>
    <n v="0"/>
    <n v="15946.08108"/>
    <n v="0"/>
    <n v="0"/>
    <n v="28344.11026570783"/>
    <n v="0"/>
  </r>
  <r>
    <s v="Regular"/>
    <x v="0"/>
    <x v="1"/>
    <x v="0"/>
    <x v="0"/>
    <x v="0"/>
    <x v="0"/>
    <x v="0"/>
    <x v="5"/>
    <n v="0"/>
    <n v="0"/>
    <n v="295.05799999999999"/>
    <n v="295.05799999999999"/>
    <n v="0"/>
    <n v="0"/>
    <n v="0"/>
    <x v="0"/>
    <n v="0"/>
    <n v="0"/>
    <n v="15"/>
    <n v="0"/>
    <n v="0"/>
    <n v="56.92"/>
    <n v="0"/>
    <m/>
    <n v="101.17512561425467"/>
    <m/>
    <n v="0"/>
    <n v="16794.701359999999"/>
    <n v="0"/>
    <n v="0"/>
    <n v="29852.530213490754"/>
    <n v="0"/>
  </r>
  <r>
    <s v="Regular"/>
    <x v="0"/>
    <x v="1"/>
    <x v="0"/>
    <x v="0"/>
    <x v="0"/>
    <x v="0"/>
    <x v="0"/>
    <x v="6"/>
    <n v="0"/>
    <n v="0"/>
    <n v="336.435"/>
    <n v="336.435"/>
    <n v="0"/>
    <n v="0"/>
    <n v="0"/>
    <x v="0"/>
    <n v="0"/>
    <n v="0"/>
    <n v="15"/>
    <n v="0"/>
    <n v="0"/>
    <n v="56.92"/>
    <n v="0"/>
    <m/>
    <n v="101.17512561425467"/>
    <m/>
    <n v="0"/>
    <n v="19149.8802"/>
    <n v="0"/>
    <n v="0"/>
    <n v="34038.853386031769"/>
    <n v="0"/>
  </r>
  <r>
    <s v="Regular"/>
    <x v="0"/>
    <x v="1"/>
    <x v="0"/>
    <x v="0"/>
    <x v="0"/>
    <x v="0"/>
    <x v="0"/>
    <x v="7"/>
    <n v="0"/>
    <n v="0"/>
    <n v="330.31299999999999"/>
    <n v="330.31299999999999"/>
    <n v="0"/>
    <n v="0"/>
    <n v="0"/>
    <x v="0"/>
    <n v="0"/>
    <n v="0"/>
    <n v="15"/>
    <n v="0"/>
    <n v="0"/>
    <n v="56.92"/>
    <n v="0"/>
    <m/>
    <n v="101.17512561425467"/>
    <m/>
    <n v="0"/>
    <n v="18801.415959999998"/>
    <n v="0"/>
    <n v="0"/>
    <n v="33419.459267021302"/>
    <n v="0"/>
  </r>
  <r>
    <s v="Regular"/>
    <x v="0"/>
    <x v="1"/>
    <x v="0"/>
    <x v="0"/>
    <x v="0"/>
    <x v="0"/>
    <x v="0"/>
    <x v="8"/>
    <n v="0"/>
    <n v="0"/>
    <n v="425.762"/>
    <n v="425.762"/>
    <n v="0"/>
    <n v="0"/>
    <n v="0"/>
    <x v="0"/>
    <n v="0"/>
    <n v="0"/>
    <n v="15"/>
    <n v="0"/>
    <n v="0"/>
    <n v="56.92"/>
    <n v="0"/>
    <m/>
    <n v="101.17512561425467"/>
    <m/>
    <n v="0"/>
    <n v="24234.373040000002"/>
    <n v="0"/>
    <n v="0"/>
    <n v="43076.5238317763"/>
    <n v="0"/>
  </r>
  <r>
    <s v="Regular"/>
    <x v="0"/>
    <x v="1"/>
    <x v="0"/>
    <x v="0"/>
    <x v="0"/>
    <x v="0"/>
    <x v="0"/>
    <x v="9"/>
    <n v="0"/>
    <n v="0"/>
    <n v="229.59800000000001"/>
    <n v="229.59800000000001"/>
    <n v="0"/>
    <n v="0"/>
    <n v="0"/>
    <x v="0"/>
    <n v="0"/>
    <n v="0"/>
    <n v="15"/>
    <n v="0"/>
    <n v="0"/>
    <n v="56.92"/>
    <n v="0"/>
    <m/>
    <n v="101.17512561425467"/>
    <m/>
    <n v="0"/>
    <n v="13068.71816"/>
    <n v="0"/>
    <n v="0"/>
    <n v="23229.606490781644"/>
    <n v="0"/>
  </r>
  <r>
    <s v="Regular"/>
    <x v="0"/>
    <x v="1"/>
    <x v="0"/>
    <x v="0"/>
    <x v="0"/>
    <x v="0"/>
    <x v="0"/>
    <x v="10"/>
    <n v="0"/>
    <n v="0"/>
    <n v="248.518"/>
    <n v="248.518"/>
    <n v="0"/>
    <n v="0"/>
    <n v="0"/>
    <x v="0"/>
    <n v="0"/>
    <n v="0"/>
    <n v="15"/>
    <n v="0"/>
    <n v="0"/>
    <n v="56.92"/>
    <n v="0"/>
    <m/>
    <n v="101.17512561425467"/>
    <m/>
    <n v="0"/>
    <n v="14145.644560000001"/>
    <n v="0"/>
    <n v="0"/>
    <n v="25143.839867403341"/>
    <n v="0"/>
  </r>
  <r>
    <s v="Regular"/>
    <x v="0"/>
    <x v="1"/>
    <x v="0"/>
    <x v="0"/>
    <x v="0"/>
    <x v="0"/>
    <x v="0"/>
    <x v="11"/>
    <n v="0"/>
    <n v="0"/>
    <n v="309.75900000000001"/>
    <n v="309.75900000000001"/>
    <n v="0"/>
    <n v="0"/>
    <n v="0"/>
    <x v="0"/>
    <n v="0"/>
    <n v="0"/>
    <n v="15"/>
    <n v="0"/>
    <n v="0"/>
    <n v="56.92"/>
    <n v="0"/>
    <m/>
    <n v="101.17512561425467"/>
    <m/>
    <n v="0"/>
    <n v="17631.48228"/>
    <n v="0"/>
    <n v="0"/>
    <n v="31339.905735145912"/>
    <n v="0"/>
  </r>
  <r>
    <s v="Regular"/>
    <x v="0"/>
    <x v="1"/>
    <x v="0"/>
    <x v="0"/>
    <x v="0"/>
    <x v="0"/>
    <x v="1"/>
    <x v="0"/>
    <n v="540"/>
    <n v="270"/>
    <n v="0"/>
    <n v="0"/>
    <n v="0"/>
    <n v="0"/>
    <n v="1"/>
    <x v="0"/>
    <n v="0"/>
    <n v="22"/>
    <n v="0"/>
    <n v="0"/>
    <n v="22.34"/>
    <n v="0"/>
    <n v="0"/>
    <n v="30.26225635308667"/>
    <m/>
    <m/>
    <n v="6031.8"/>
    <n v="0"/>
    <n v="0"/>
    <n v="8170.809215333401"/>
    <n v="0"/>
    <n v="0"/>
  </r>
  <r>
    <s v="Regular"/>
    <x v="0"/>
    <x v="1"/>
    <x v="0"/>
    <x v="0"/>
    <x v="0"/>
    <x v="0"/>
    <x v="1"/>
    <x v="1"/>
    <n v="540"/>
    <n v="270"/>
    <n v="0"/>
    <n v="0"/>
    <n v="0"/>
    <n v="0"/>
    <n v="1"/>
    <x v="0"/>
    <n v="0"/>
    <n v="22"/>
    <n v="0"/>
    <n v="0"/>
    <n v="22.34"/>
    <n v="0"/>
    <n v="0"/>
    <n v="30.26225635308667"/>
    <m/>
    <m/>
    <n v="6031.8"/>
    <n v="0"/>
    <n v="0"/>
    <n v="8170.809215333401"/>
    <n v="0"/>
    <n v="0"/>
  </r>
  <r>
    <s v="Regular"/>
    <x v="0"/>
    <x v="1"/>
    <x v="0"/>
    <x v="0"/>
    <x v="0"/>
    <x v="0"/>
    <x v="1"/>
    <x v="2"/>
    <n v="540"/>
    <n v="270"/>
    <n v="0"/>
    <n v="0"/>
    <n v="0"/>
    <n v="0"/>
    <n v="1"/>
    <x v="0"/>
    <n v="0"/>
    <n v="22"/>
    <n v="0"/>
    <n v="0"/>
    <n v="22.34"/>
    <n v="0"/>
    <n v="0"/>
    <n v="30.26225635308667"/>
    <m/>
    <m/>
    <n v="6031.8"/>
    <n v="0"/>
    <n v="0"/>
    <n v="8170.809215333401"/>
    <n v="0"/>
    <n v="0"/>
  </r>
  <r>
    <s v="Regular"/>
    <x v="0"/>
    <x v="1"/>
    <x v="0"/>
    <x v="0"/>
    <x v="0"/>
    <x v="0"/>
    <x v="1"/>
    <x v="3"/>
    <n v="554"/>
    <n v="277"/>
    <n v="0"/>
    <n v="0"/>
    <n v="0"/>
    <n v="0"/>
    <n v="1"/>
    <x v="0"/>
    <n v="0"/>
    <n v="22"/>
    <n v="0"/>
    <n v="0"/>
    <n v="22.34"/>
    <n v="0"/>
    <n v="0"/>
    <n v="30.26225635308667"/>
    <m/>
    <m/>
    <n v="6188.18"/>
    <n v="0"/>
    <n v="0"/>
    <n v="8382.6450098050082"/>
    <n v="0"/>
    <n v="0"/>
  </r>
  <r>
    <s v="Regular"/>
    <x v="0"/>
    <x v="1"/>
    <x v="0"/>
    <x v="0"/>
    <x v="0"/>
    <x v="0"/>
    <x v="1"/>
    <x v="4"/>
    <n v="561"/>
    <n v="280.5"/>
    <n v="0"/>
    <n v="0"/>
    <n v="0"/>
    <n v="0"/>
    <n v="1"/>
    <x v="0"/>
    <n v="0"/>
    <n v="22"/>
    <n v="0"/>
    <n v="0"/>
    <n v="22.34"/>
    <n v="0"/>
    <n v="0"/>
    <n v="30.26225635308667"/>
    <m/>
    <m/>
    <n v="6266.37"/>
    <n v="0"/>
    <n v="0"/>
    <n v="8488.5629070408104"/>
    <n v="0"/>
    <n v="0"/>
  </r>
  <r>
    <s v="Regular"/>
    <x v="0"/>
    <x v="1"/>
    <x v="0"/>
    <x v="0"/>
    <x v="0"/>
    <x v="0"/>
    <x v="1"/>
    <x v="5"/>
    <n v="598"/>
    <n v="299"/>
    <n v="0"/>
    <n v="0"/>
    <n v="0"/>
    <n v="0"/>
    <n v="1"/>
    <x v="0"/>
    <n v="0"/>
    <n v="22"/>
    <n v="0"/>
    <n v="0"/>
    <n v="22.34"/>
    <n v="0"/>
    <n v="0"/>
    <n v="30.26225635308667"/>
    <m/>
    <m/>
    <n v="6679.66"/>
    <n v="0"/>
    <n v="0"/>
    <n v="9048.4146495729146"/>
    <n v="0"/>
    <n v="0"/>
  </r>
  <r>
    <s v="Regular"/>
    <x v="0"/>
    <x v="1"/>
    <x v="0"/>
    <x v="0"/>
    <x v="0"/>
    <x v="0"/>
    <x v="1"/>
    <x v="6"/>
    <n v="601"/>
    <n v="300.5"/>
    <n v="0"/>
    <n v="0"/>
    <n v="0"/>
    <n v="0"/>
    <n v="1"/>
    <x v="0"/>
    <n v="0"/>
    <n v="22"/>
    <n v="0"/>
    <n v="0"/>
    <n v="22.34"/>
    <n v="0"/>
    <n v="0"/>
    <n v="30.26225635308667"/>
    <m/>
    <m/>
    <n v="6713.17"/>
    <n v="0"/>
    <n v="0"/>
    <n v="9093.8080341025452"/>
    <n v="0"/>
    <n v="0"/>
  </r>
  <r>
    <s v="Regular"/>
    <x v="0"/>
    <x v="1"/>
    <x v="0"/>
    <x v="0"/>
    <x v="0"/>
    <x v="0"/>
    <x v="1"/>
    <x v="7"/>
    <n v="605"/>
    <n v="302.5"/>
    <n v="0"/>
    <n v="0"/>
    <n v="0"/>
    <n v="0"/>
    <n v="1"/>
    <x v="0"/>
    <n v="0"/>
    <n v="22"/>
    <n v="0"/>
    <n v="0"/>
    <n v="22.34"/>
    <n v="0"/>
    <n v="0"/>
    <n v="30.26225635308667"/>
    <m/>
    <m/>
    <n v="6757.85"/>
    <n v="0"/>
    <n v="0"/>
    <n v="9154.3325468087169"/>
    <n v="0"/>
    <n v="0"/>
  </r>
  <r>
    <s v="Regular"/>
    <x v="0"/>
    <x v="1"/>
    <x v="0"/>
    <x v="0"/>
    <x v="0"/>
    <x v="0"/>
    <x v="1"/>
    <x v="8"/>
    <n v="1198"/>
    <n v="599"/>
    <n v="0"/>
    <n v="0"/>
    <n v="0"/>
    <n v="0"/>
    <n v="2"/>
    <x v="0"/>
    <n v="0"/>
    <n v="22"/>
    <n v="0"/>
    <n v="0"/>
    <n v="22.34"/>
    <n v="0"/>
    <n v="0"/>
    <n v="30.26225635308667"/>
    <m/>
    <m/>
    <n v="13381.66"/>
    <n v="0"/>
    <n v="0"/>
    <n v="18127.091555498915"/>
    <n v="0"/>
    <n v="0"/>
  </r>
  <r>
    <s v="Regular"/>
    <x v="0"/>
    <x v="1"/>
    <x v="0"/>
    <x v="0"/>
    <x v="0"/>
    <x v="0"/>
    <x v="1"/>
    <x v="9"/>
    <n v="1195"/>
    <n v="597.5"/>
    <n v="0"/>
    <n v="0"/>
    <n v="0"/>
    <n v="0"/>
    <n v="2"/>
    <x v="0"/>
    <n v="0"/>
    <n v="22"/>
    <n v="0"/>
    <n v="0"/>
    <n v="22.34"/>
    <n v="0"/>
    <n v="0"/>
    <n v="30.26225635308667"/>
    <m/>
    <m/>
    <n v="13348.15"/>
    <n v="0"/>
    <n v="0"/>
    <n v="18081.698170969285"/>
    <n v="0"/>
    <n v="0"/>
  </r>
  <r>
    <s v="Regular"/>
    <x v="0"/>
    <x v="1"/>
    <x v="0"/>
    <x v="0"/>
    <x v="0"/>
    <x v="0"/>
    <x v="1"/>
    <x v="10"/>
    <n v="1140"/>
    <n v="570"/>
    <n v="0"/>
    <n v="0"/>
    <n v="0"/>
    <n v="0"/>
    <n v="2"/>
    <x v="0"/>
    <n v="0"/>
    <n v="22"/>
    <n v="0"/>
    <n v="0"/>
    <n v="22.34"/>
    <n v="0"/>
    <n v="0"/>
    <n v="30.26225635308667"/>
    <m/>
    <m/>
    <n v="12733.8"/>
    <n v="0"/>
    <n v="0"/>
    <n v="17249.486121259401"/>
    <n v="0"/>
    <n v="0"/>
  </r>
  <r>
    <s v="Regular"/>
    <x v="0"/>
    <x v="1"/>
    <x v="0"/>
    <x v="0"/>
    <x v="0"/>
    <x v="0"/>
    <x v="1"/>
    <x v="11"/>
    <n v="1140"/>
    <n v="570"/>
    <n v="0"/>
    <n v="0"/>
    <n v="0"/>
    <n v="0"/>
    <n v="2"/>
    <x v="0"/>
    <n v="0"/>
    <n v="22"/>
    <n v="0"/>
    <n v="0"/>
    <n v="22.34"/>
    <n v="0"/>
    <n v="0"/>
    <n v="30.26225635308667"/>
    <m/>
    <m/>
    <n v="12733.8"/>
    <n v="0"/>
    <n v="0"/>
    <n v="17249.486121259401"/>
    <n v="0"/>
    <n v="0"/>
  </r>
  <r>
    <s v="Regular"/>
    <x v="0"/>
    <x v="1"/>
    <x v="0"/>
    <x v="0"/>
    <x v="0"/>
    <x v="0"/>
    <x v="2"/>
    <x v="0"/>
    <n v="0"/>
    <n v="0"/>
    <n v="23.035"/>
    <n v="11.886060000000001"/>
    <n v="0"/>
    <n v="0"/>
    <n v="0"/>
    <x v="0"/>
    <n v="0"/>
    <n v="0"/>
    <n v="33"/>
    <n v="0"/>
    <n v="0"/>
    <n v="1936.94"/>
    <n v="0"/>
    <m/>
    <n v="2334.812641231822"/>
    <m/>
    <n v="0"/>
    <n v="23022.585056400003"/>
    <n v="0"/>
    <n v="0"/>
    <n v="27751.723142439911"/>
    <n v="0"/>
  </r>
  <r>
    <s v="Regular"/>
    <x v="0"/>
    <x v="1"/>
    <x v="0"/>
    <x v="0"/>
    <x v="0"/>
    <x v="0"/>
    <x v="2"/>
    <x v="1"/>
    <n v="0"/>
    <n v="0"/>
    <n v="24.352"/>
    <n v="12.5339744"/>
    <n v="0"/>
    <n v="0"/>
    <n v="0"/>
    <x v="0"/>
    <n v="0"/>
    <n v="0"/>
    <n v="33"/>
    <n v="0"/>
    <n v="0"/>
    <n v="1936.94"/>
    <n v="0"/>
    <m/>
    <n v="2334.812641231822"/>
    <m/>
    <n v="0"/>
    <n v="24277.556374336"/>
    <n v="0"/>
    <n v="0"/>
    <n v="29264.481873996043"/>
    <n v="0"/>
  </r>
  <r>
    <s v="Regular"/>
    <x v="0"/>
    <x v="1"/>
    <x v="0"/>
    <x v="0"/>
    <x v="0"/>
    <x v="0"/>
    <x v="2"/>
    <x v="2"/>
    <n v="0"/>
    <n v="0"/>
    <n v="24.995999999999999"/>
    <n v="12.865441199999999"/>
    <n v="0"/>
    <n v="0"/>
    <n v="0"/>
    <x v="0"/>
    <n v="0"/>
    <n v="0"/>
    <n v="33"/>
    <n v="0"/>
    <n v="0"/>
    <n v="1936.94"/>
    <n v="0"/>
    <m/>
    <n v="2334.812641231822"/>
    <m/>
    <n v="0"/>
    <n v="24919.587677928001"/>
    <n v="0"/>
    <n v="0"/>
    <n v="30038.3947487847"/>
    <n v="0"/>
  </r>
  <r>
    <s v="Regular"/>
    <x v="0"/>
    <x v="1"/>
    <x v="0"/>
    <x v="0"/>
    <x v="0"/>
    <x v="0"/>
    <x v="2"/>
    <x v="3"/>
    <n v="0"/>
    <n v="0"/>
    <n v="19.295999999999999"/>
    <n v="9.9316511999999992"/>
    <n v="0"/>
    <n v="0"/>
    <n v="0"/>
    <x v="0"/>
    <n v="0"/>
    <n v="0"/>
    <n v="33"/>
    <n v="0"/>
    <n v="0"/>
    <n v="1936.94"/>
    <n v="0"/>
    <m/>
    <n v="2334.812641231822"/>
    <m/>
    <n v="0"/>
    <n v="19237.012475328"/>
    <n v="0"/>
    <n v="0"/>
    <n v="23188.544770065193"/>
    <n v="0"/>
  </r>
  <r>
    <s v="Regular"/>
    <x v="0"/>
    <x v="1"/>
    <x v="0"/>
    <x v="0"/>
    <x v="0"/>
    <x v="0"/>
    <x v="2"/>
    <x v="4"/>
    <n v="0"/>
    <n v="0"/>
    <n v="27.260999999999999"/>
    <n v="14.031236699999999"/>
    <n v="0"/>
    <n v="0"/>
    <n v="0"/>
    <x v="0"/>
    <n v="0"/>
    <n v="0"/>
    <n v="33"/>
    <n v="0"/>
    <n v="0"/>
    <n v="1936.94"/>
    <n v="0"/>
    <m/>
    <n v="2334.812641231822"/>
    <m/>
    <n v="0"/>
    <n v="27177.663613697998"/>
    <n v="0"/>
    <n v="0"/>
    <n v="32760.308819275873"/>
    <n v="0"/>
  </r>
  <r>
    <s v="Regular"/>
    <x v="0"/>
    <x v="1"/>
    <x v="0"/>
    <x v="0"/>
    <x v="0"/>
    <x v="0"/>
    <x v="2"/>
    <x v="5"/>
    <n v="0"/>
    <n v="0"/>
    <n v="27.995999999999999"/>
    <n v="14.4095412"/>
    <n v="0"/>
    <n v="0"/>
    <n v="0"/>
    <x v="0"/>
    <n v="0"/>
    <n v="0"/>
    <n v="33"/>
    <n v="0"/>
    <n v="0"/>
    <n v="1936.94"/>
    <n v="0"/>
    <m/>
    <n v="2334.812641231822"/>
    <m/>
    <n v="0"/>
    <n v="27910.416731927999"/>
    <n v="0"/>
    <n v="0"/>
    <n v="33643.578948110757"/>
    <n v="0"/>
  </r>
  <r>
    <s v="Regular"/>
    <x v="0"/>
    <x v="1"/>
    <x v="0"/>
    <x v="0"/>
    <x v="0"/>
    <x v="0"/>
    <x v="2"/>
    <x v="6"/>
    <n v="0"/>
    <n v="0"/>
    <n v="32.331000000000003"/>
    <n v="16.640765699999999"/>
    <n v="0"/>
    <n v="0"/>
    <n v="0"/>
    <x v="0"/>
    <n v="0"/>
    <n v="0"/>
    <n v="33"/>
    <n v="0"/>
    <n v="0"/>
    <n v="1936.94"/>
    <n v="0"/>
    <m/>
    <n v="2334.812641231822"/>
    <m/>
    <n v="0"/>
    <n v="32232.164714957999"/>
    <n v="0"/>
    <n v="0"/>
    <n v="38853.070116136907"/>
    <n v="0"/>
  </r>
  <r>
    <s v="Regular"/>
    <x v="0"/>
    <x v="1"/>
    <x v="0"/>
    <x v="0"/>
    <x v="0"/>
    <x v="0"/>
    <x v="2"/>
    <x v="7"/>
    <n v="0"/>
    <n v="0"/>
    <n v="28.545000000000002"/>
    <n v="14.692111499999999"/>
    <n v="0"/>
    <n v="0"/>
    <n v="0"/>
    <x v="0"/>
    <n v="0"/>
    <n v="0"/>
    <n v="33"/>
    <n v="0"/>
    <n v="0"/>
    <n v="1936.94"/>
    <n v="0"/>
    <m/>
    <n v="2334.812641231822"/>
    <m/>
    <n v="0"/>
    <n v="28457.73844881"/>
    <n v="0"/>
    <n v="0"/>
    <n v="34303.327656587426"/>
    <n v="0"/>
  </r>
  <r>
    <s v="Regular"/>
    <x v="0"/>
    <x v="1"/>
    <x v="0"/>
    <x v="0"/>
    <x v="0"/>
    <x v="0"/>
    <x v="2"/>
    <x v="8"/>
    <n v="0"/>
    <n v="0"/>
    <n v="43.064"/>
    <n v="22.1650408"/>
    <n v="0"/>
    <n v="0"/>
    <n v="0"/>
    <x v="0"/>
    <n v="0"/>
    <n v="0"/>
    <n v="33"/>
    <n v="0"/>
    <n v="0"/>
    <n v="1936.94"/>
    <n v="0"/>
    <m/>
    <n v="2334.812641231822"/>
    <m/>
    <n v="0"/>
    <n v="42932.354127152001"/>
    <n v="0"/>
    <n v="0"/>
    <n v="51751.217453259094"/>
    <n v="0"/>
  </r>
  <r>
    <s v="Regular"/>
    <x v="0"/>
    <x v="1"/>
    <x v="0"/>
    <x v="0"/>
    <x v="0"/>
    <x v="0"/>
    <x v="2"/>
    <x v="9"/>
    <n v="0"/>
    <n v="0"/>
    <n v="21.507000000000001"/>
    <n v="11.069652899999999"/>
    <n v="0"/>
    <n v="0"/>
    <n v="0"/>
    <x v="0"/>
    <n v="0"/>
    <n v="0"/>
    <n v="33"/>
    <n v="0"/>
    <n v="0"/>
    <n v="1936.94"/>
    <n v="0"/>
    <m/>
    <n v="2334.812641231822"/>
    <m/>
    <n v="0"/>
    <n v="21441.253488126"/>
    <n v="0"/>
    <n v="0"/>
    <n v="25845.565524968497"/>
    <n v="0"/>
  </r>
  <r>
    <s v="Regular"/>
    <x v="0"/>
    <x v="1"/>
    <x v="0"/>
    <x v="0"/>
    <x v="0"/>
    <x v="0"/>
    <x v="2"/>
    <x v="10"/>
    <n v="0"/>
    <n v="0"/>
    <n v="23.550999999999998"/>
    <n v="12.121699700000001"/>
    <n v="0"/>
    <n v="0"/>
    <n v="0"/>
    <x v="0"/>
    <n v="0"/>
    <n v="0"/>
    <n v="33"/>
    <n v="0"/>
    <n v="0"/>
    <n v="1936.94"/>
    <n v="0"/>
    <m/>
    <n v="2334.812641231822"/>
    <m/>
    <n v="0"/>
    <n v="23479.005016918003"/>
    <n v="0"/>
    <n v="0"/>
    <n v="28301.897692775987"/>
    <n v="0"/>
  </r>
  <r>
    <s v="Regular"/>
    <x v="0"/>
    <x v="1"/>
    <x v="0"/>
    <x v="0"/>
    <x v="0"/>
    <x v="0"/>
    <x v="2"/>
    <x v="11"/>
    <n v="0"/>
    <n v="0"/>
    <n v="31.175999999999998"/>
    <n v="16.046287199999998"/>
    <n v="0"/>
    <n v="0"/>
    <n v="0"/>
    <x v="0"/>
    <n v="0"/>
    <n v="0"/>
    <n v="33"/>
    <n v="0"/>
    <n v="0"/>
    <n v="1936.94"/>
    <n v="0"/>
    <m/>
    <n v="2334.812641231822"/>
    <m/>
    <n v="0"/>
    <n v="31080.695529167999"/>
    <n v="0"/>
    <n v="0"/>
    <n v="37465.074199396375"/>
    <n v="0"/>
  </r>
  <r>
    <s v="Regular"/>
    <x v="0"/>
    <x v="1"/>
    <x v="0"/>
    <x v="0"/>
    <x v="1"/>
    <x v="0"/>
    <x v="0"/>
    <x v="0"/>
    <n v="0"/>
    <n v="0"/>
    <n v="549.95100000000002"/>
    <n v="549.95100000000002"/>
    <n v="549.95100000000002"/>
    <n v="549.95100000000002"/>
    <n v="0"/>
    <x v="1"/>
    <n v="0"/>
    <n v="0"/>
    <n v="15"/>
    <n v="67"/>
    <n v="0"/>
    <n v="56.92"/>
    <n v="267.91000000000003"/>
    <m/>
    <n v="101.17512561425467"/>
    <n v="185.42082399535556"/>
    <n v="0"/>
    <n v="31303.210920000001"/>
    <n v="147337.37241000001"/>
    <n v="0"/>
    <n v="55641.361506684974"/>
    <n v="101972.36757706979"/>
  </r>
  <r>
    <s v="Regular"/>
    <x v="0"/>
    <x v="1"/>
    <x v="0"/>
    <x v="0"/>
    <x v="1"/>
    <x v="0"/>
    <x v="0"/>
    <x v="1"/>
    <n v="0"/>
    <n v="0"/>
    <n v="534.697"/>
    <n v="534.697"/>
    <n v="534.697"/>
    <n v="534.697"/>
    <n v="0"/>
    <x v="1"/>
    <n v="0"/>
    <n v="0"/>
    <n v="15"/>
    <n v="67"/>
    <n v="0"/>
    <n v="56.92"/>
    <n v="267.91000000000003"/>
    <m/>
    <n v="101.17512561425467"/>
    <n v="185.42082399535556"/>
    <n v="0"/>
    <n v="30434.953240000003"/>
    <n v="143250.67327000003"/>
    <n v="0"/>
    <n v="54098.036140565127"/>
    <n v="99143.958327844637"/>
  </r>
  <r>
    <s v="Regular"/>
    <x v="0"/>
    <x v="1"/>
    <x v="0"/>
    <x v="0"/>
    <x v="1"/>
    <x v="0"/>
    <x v="0"/>
    <x v="2"/>
    <n v="0"/>
    <n v="0"/>
    <n v="546.779"/>
    <n v="546.779"/>
    <n v="546.779"/>
    <n v="546.779"/>
    <n v="0"/>
    <x v="1"/>
    <n v="0"/>
    <n v="0"/>
    <n v="15"/>
    <n v="67"/>
    <n v="0"/>
    <n v="56.92"/>
    <n v="267.91000000000003"/>
    <m/>
    <n v="101.17512561425467"/>
    <n v="185.42082399535556"/>
    <n v="0"/>
    <n v="31122.660680000001"/>
    <n v="146487.56189000001"/>
    <n v="0"/>
    <n v="55320.434008236552"/>
    <n v="101384.21272335651"/>
  </r>
  <r>
    <s v="Regular"/>
    <x v="0"/>
    <x v="1"/>
    <x v="0"/>
    <x v="0"/>
    <x v="1"/>
    <x v="0"/>
    <x v="0"/>
    <x v="3"/>
    <n v="0"/>
    <n v="0"/>
    <n v="448.85599999999999"/>
    <n v="448.85599999999999"/>
    <n v="448.85599999999999"/>
    <n v="448.85599999999999"/>
    <n v="0"/>
    <x v="1"/>
    <n v="0"/>
    <n v="0"/>
    <n v="15"/>
    <n v="67"/>
    <n v="0"/>
    <n v="56.92"/>
    <n v="267.91000000000003"/>
    <m/>
    <n v="101.17512561425467"/>
    <n v="185.42082399535556"/>
    <n v="0"/>
    <n v="25548.883519999999"/>
    <n v="120253.01096000001"/>
    <n v="0"/>
    <n v="45413.062182711896"/>
    <n v="83227.249375259315"/>
  </r>
  <r>
    <s v="Regular"/>
    <x v="0"/>
    <x v="1"/>
    <x v="0"/>
    <x v="0"/>
    <x v="1"/>
    <x v="0"/>
    <x v="0"/>
    <x v="4"/>
    <n v="0"/>
    <n v="0"/>
    <n v="556.86699999999996"/>
    <n v="556.86699999999996"/>
    <n v="556.86699999999996"/>
    <n v="556.86699999999996"/>
    <n v="0"/>
    <x v="1"/>
    <n v="0"/>
    <n v="0"/>
    <n v="15"/>
    <n v="67"/>
    <n v="0"/>
    <n v="56.92"/>
    <n v="267.91000000000003"/>
    <m/>
    <n v="101.17512561425467"/>
    <n v="185.42082399535556"/>
    <n v="0"/>
    <n v="31696.869639999997"/>
    <n v="149190.23797000002"/>
    <n v="0"/>
    <n v="56341.088675433151"/>
    <n v="103254.73799582166"/>
  </r>
  <r>
    <s v="Regular"/>
    <x v="0"/>
    <x v="1"/>
    <x v="0"/>
    <x v="0"/>
    <x v="1"/>
    <x v="0"/>
    <x v="0"/>
    <x v="5"/>
    <n v="0"/>
    <n v="0"/>
    <n v="572.27"/>
    <n v="572.27"/>
    <n v="572.27"/>
    <n v="572.27"/>
    <n v="0"/>
    <x v="1"/>
    <n v="0"/>
    <n v="0"/>
    <n v="15"/>
    <n v="67"/>
    <n v="0"/>
    <n v="56.92"/>
    <n v="267.91000000000003"/>
    <m/>
    <n v="101.17512561425467"/>
    <n v="185.42082399535556"/>
    <n v="0"/>
    <n v="32573.608400000001"/>
    <n v="153316.85570000001"/>
    <n v="0"/>
    <n v="57899.489135269519"/>
    <n v="106110.77494782212"/>
  </r>
  <r>
    <s v="Regular"/>
    <x v="0"/>
    <x v="1"/>
    <x v="0"/>
    <x v="0"/>
    <x v="1"/>
    <x v="0"/>
    <x v="0"/>
    <x v="6"/>
    <n v="0"/>
    <n v="0"/>
    <n v="547.15"/>
    <n v="547.15"/>
    <n v="547.15"/>
    <n v="547.15"/>
    <n v="0"/>
    <x v="1"/>
    <n v="0"/>
    <n v="0"/>
    <n v="15"/>
    <n v="67"/>
    <n v="0"/>
    <n v="56.92"/>
    <n v="267.91000000000003"/>
    <m/>
    <n v="101.17512561425467"/>
    <n v="185.42082399535556"/>
    <n v="0"/>
    <n v="31143.777999999998"/>
    <n v="146586.9565"/>
    <n v="0"/>
    <n v="55357.969979839436"/>
    <n v="101453.00384905879"/>
  </r>
  <r>
    <s v="Regular"/>
    <x v="0"/>
    <x v="1"/>
    <x v="0"/>
    <x v="0"/>
    <x v="1"/>
    <x v="0"/>
    <x v="0"/>
    <x v="7"/>
    <n v="0"/>
    <n v="0"/>
    <n v="617.101"/>
    <n v="617.101"/>
    <n v="617.101"/>
    <n v="617.101"/>
    <n v="0"/>
    <x v="1"/>
    <n v="0"/>
    <n v="0"/>
    <n v="15"/>
    <n v="67"/>
    <n v="0"/>
    <n v="56.92"/>
    <n v="267.91000000000003"/>
    <m/>
    <n v="101.17512561425467"/>
    <n v="185.42082399535556"/>
    <n v="0"/>
    <n v="35125.388919999998"/>
    <n v="165327.52891000002"/>
    <n v="0"/>
    <n v="62435.271191682172"/>
    <n v="114423.37590835791"/>
  </r>
  <r>
    <s v="Regular"/>
    <x v="0"/>
    <x v="1"/>
    <x v="0"/>
    <x v="0"/>
    <x v="1"/>
    <x v="0"/>
    <x v="0"/>
    <x v="8"/>
    <n v="0"/>
    <n v="0"/>
    <n v="576.65700000000004"/>
    <n v="576.65700000000004"/>
    <n v="576.65700000000004"/>
    <n v="576.65700000000004"/>
    <n v="0"/>
    <x v="1"/>
    <n v="0"/>
    <n v="0"/>
    <n v="15"/>
    <n v="67"/>
    <n v="0"/>
    <n v="56.92"/>
    <n v="267.91000000000003"/>
    <m/>
    <n v="101.17512561425467"/>
    <n v="185.42082399535556"/>
    <n v="0"/>
    <n v="32823.316440000002"/>
    <n v="154492.17687000002"/>
    <n v="0"/>
    <n v="58343.344411339262"/>
    <n v="106924.21610268977"/>
  </r>
  <r>
    <s v="Regular"/>
    <x v="0"/>
    <x v="1"/>
    <x v="0"/>
    <x v="0"/>
    <x v="1"/>
    <x v="0"/>
    <x v="0"/>
    <x v="9"/>
    <n v="0"/>
    <n v="0"/>
    <n v="556.83199999999999"/>
    <n v="556.83199999999999"/>
    <n v="556.83199999999999"/>
    <n v="556.83199999999999"/>
    <n v="0"/>
    <x v="1"/>
    <n v="0"/>
    <n v="0"/>
    <n v="15"/>
    <n v="67"/>
    <n v="0"/>
    <n v="56.92"/>
    <n v="267.91000000000003"/>
    <m/>
    <n v="101.17512561425467"/>
    <n v="185.42082399535556"/>
    <n v="0"/>
    <n v="31694.87744"/>
    <n v="149180.86112000002"/>
    <n v="0"/>
    <n v="56337.547546036658"/>
    <n v="103248.24826698183"/>
  </r>
  <r>
    <s v="Regular"/>
    <x v="0"/>
    <x v="1"/>
    <x v="0"/>
    <x v="0"/>
    <x v="1"/>
    <x v="0"/>
    <x v="0"/>
    <x v="10"/>
    <n v="0"/>
    <n v="0"/>
    <n v="480.21699999999998"/>
    <n v="480.21699999999998"/>
    <n v="480.21699999999998"/>
    <n v="480.21699999999998"/>
    <n v="0"/>
    <x v="1"/>
    <n v="0"/>
    <n v="0"/>
    <n v="15"/>
    <n v="67"/>
    <n v="0"/>
    <n v="56.92"/>
    <n v="267.91000000000003"/>
    <m/>
    <n v="101.17512561425467"/>
    <n v="185.42082399535556"/>
    <n v="0"/>
    <n v="27333.951639999999"/>
    <n v="128654.93647000002"/>
    <n v="0"/>
    <n v="48586.01529710053"/>
    <n v="89042.231836577659"/>
  </r>
  <r>
    <s v="Regular"/>
    <x v="0"/>
    <x v="1"/>
    <x v="0"/>
    <x v="0"/>
    <x v="1"/>
    <x v="0"/>
    <x v="0"/>
    <x v="11"/>
    <n v="0"/>
    <n v="0"/>
    <n v="500.18200000000002"/>
    <n v="500.18200000000002"/>
    <n v="500.18200000000002"/>
    <n v="500.18200000000002"/>
    <n v="0"/>
    <x v="1"/>
    <n v="0"/>
    <n v="0"/>
    <n v="15"/>
    <n v="67"/>
    <n v="0"/>
    <n v="56.92"/>
    <n v="267.91000000000003"/>
    <m/>
    <n v="101.17512561425467"/>
    <n v="185.42082399535556"/>
    <n v="0"/>
    <n v="28470.35944"/>
    <n v="134003.75962000003"/>
    <n v="0"/>
    <n v="50605.976679989129"/>
    <n v="92744.158587644939"/>
  </r>
  <r>
    <s v="Regular"/>
    <x v="0"/>
    <x v="1"/>
    <x v="0"/>
    <x v="0"/>
    <x v="1"/>
    <x v="0"/>
    <x v="1"/>
    <x v="0"/>
    <n v="4006"/>
    <n v="4006"/>
    <n v="0"/>
    <n v="0"/>
    <n v="0"/>
    <n v="0"/>
    <n v="12"/>
    <x v="1"/>
    <n v="0"/>
    <n v="22"/>
    <n v="0"/>
    <n v="0"/>
    <n v="22.34"/>
    <n v="0"/>
    <n v="0"/>
    <n v="30.26225635308667"/>
    <m/>
    <m/>
    <n v="89494.04"/>
    <n v="0"/>
    <n v="0"/>
    <n v="121230.5989504652"/>
    <n v="0"/>
    <n v="0"/>
  </r>
  <r>
    <s v="Regular"/>
    <x v="0"/>
    <x v="1"/>
    <x v="0"/>
    <x v="0"/>
    <x v="1"/>
    <x v="0"/>
    <x v="1"/>
    <x v="1"/>
    <n v="4040"/>
    <n v="4040"/>
    <n v="0"/>
    <n v="0"/>
    <n v="0"/>
    <n v="0"/>
    <n v="12"/>
    <x v="1"/>
    <n v="0"/>
    <n v="22"/>
    <n v="0"/>
    <n v="0"/>
    <n v="22.34"/>
    <n v="0"/>
    <n v="0"/>
    <n v="30.26225635308667"/>
    <m/>
    <m/>
    <n v="90253.6"/>
    <n v="0"/>
    <n v="0"/>
    <n v="122259.51566647015"/>
    <n v="0"/>
    <n v="0"/>
  </r>
  <r>
    <s v="Regular"/>
    <x v="0"/>
    <x v="1"/>
    <x v="0"/>
    <x v="0"/>
    <x v="1"/>
    <x v="0"/>
    <x v="1"/>
    <x v="2"/>
    <n v="4135"/>
    <n v="4135"/>
    <n v="0"/>
    <n v="0"/>
    <n v="0"/>
    <n v="0"/>
    <n v="12"/>
    <x v="1"/>
    <n v="0"/>
    <n v="22"/>
    <n v="0"/>
    <n v="0"/>
    <n v="22.34"/>
    <n v="0"/>
    <n v="0"/>
    <n v="30.26225635308667"/>
    <m/>
    <m/>
    <n v="92375.9"/>
    <n v="0"/>
    <n v="0"/>
    <n v="125134.43002001337"/>
    <n v="0"/>
    <n v="0"/>
  </r>
  <r>
    <s v="Regular"/>
    <x v="0"/>
    <x v="1"/>
    <x v="0"/>
    <x v="0"/>
    <x v="1"/>
    <x v="0"/>
    <x v="1"/>
    <x v="3"/>
    <n v="4125"/>
    <n v="4125"/>
    <n v="0"/>
    <n v="0"/>
    <n v="0"/>
    <n v="0"/>
    <n v="12"/>
    <x v="1"/>
    <n v="0"/>
    <n v="22"/>
    <n v="0"/>
    <n v="0"/>
    <n v="22.34"/>
    <n v="0"/>
    <n v="0"/>
    <n v="30.26225635308667"/>
    <m/>
    <m/>
    <n v="92152.5"/>
    <n v="0"/>
    <n v="0"/>
    <n v="124831.80745648251"/>
    <n v="0"/>
    <n v="0"/>
  </r>
  <r>
    <s v="Regular"/>
    <x v="0"/>
    <x v="1"/>
    <x v="0"/>
    <x v="0"/>
    <x v="1"/>
    <x v="0"/>
    <x v="1"/>
    <x v="4"/>
    <n v="4146"/>
    <n v="4146"/>
    <n v="0"/>
    <n v="0"/>
    <n v="0"/>
    <n v="0"/>
    <n v="12"/>
    <x v="1"/>
    <n v="0"/>
    <n v="22"/>
    <n v="0"/>
    <n v="0"/>
    <n v="22.34"/>
    <n v="0"/>
    <n v="0"/>
    <n v="30.26225635308667"/>
    <m/>
    <m/>
    <n v="92621.64"/>
    <n v="0"/>
    <n v="0"/>
    <n v="125467.31483989733"/>
    <n v="0"/>
    <n v="0"/>
  </r>
  <r>
    <s v="Regular"/>
    <x v="0"/>
    <x v="1"/>
    <x v="0"/>
    <x v="0"/>
    <x v="1"/>
    <x v="0"/>
    <x v="1"/>
    <x v="5"/>
    <n v="4146"/>
    <n v="4146"/>
    <n v="0"/>
    <n v="0"/>
    <n v="0"/>
    <n v="0"/>
    <n v="12"/>
    <x v="1"/>
    <n v="0"/>
    <n v="22"/>
    <n v="0"/>
    <n v="0"/>
    <n v="22.34"/>
    <n v="0"/>
    <n v="0"/>
    <n v="30.26225635308667"/>
    <m/>
    <m/>
    <n v="92621.64"/>
    <n v="0"/>
    <n v="0"/>
    <n v="125467.31483989733"/>
    <n v="0"/>
    <n v="0"/>
  </r>
  <r>
    <s v="Regular"/>
    <x v="0"/>
    <x v="1"/>
    <x v="0"/>
    <x v="0"/>
    <x v="1"/>
    <x v="0"/>
    <x v="1"/>
    <x v="6"/>
    <n v="4127"/>
    <n v="4127"/>
    <n v="0"/>
    <n v="0"/>
    <n v="0"/>
    <n v="0"/>
    <n v="12"/>
    <x v="1"/>
    <n v="0"/>
    <n v="22"/>
    <n v="0"/>
    <n v="0"/>
    <n v="22.34"/>
    <n v="0"/>
    <n v="0"/>
    <n v="30.26225635308667"/>
    <m/>
    <m/>
    <n v="92197.18"/>
    <n v="0"/>
    <n v="0"/>
    <n v="124892.33196918869"/>
    <n v="0"/>
    <n v="0"/>
  </r>
  <r>
    <s v="Regular"/>
    <x v="0"/>
    <x v="1"/>
    <x v="0"/>
    <x v="0"/>
    <x v="1"/>
    <x v="0"/>
    <x v="1"/>
    <x v="7"/>
    <n v="4118"/>
    <n v="4118"/>
    <n v="0"/>
    <n v="0"/>
    <n v="0"/>
    <n v="0"/>
    <n v="12"/>
    <x v="1"/>
    <n v="0"/>
    <n v="22"/>
    <n v="0"/>
    <n v="0"/>
    <n v="22.34"/>
    <n v="0"/>
    <n v="0"/>
    <n v="30.26225635308667"/>
    <m/>
    <m/>
    <n v="91996.12"/>
    <n v="0"/>
    <n v="0"/>
    <n v="124619.97166201091"/>
    <n v="0"/>
    <n v="0"/>
  </r>
  <r>
    <s v="Regular"/>
    <x v="0"/>
    <x v="1"/>
    <x v="0"/>
    <x v="0"/>
    <x v="1"/>
    <x v="0"/>
    <x v="1"/>
    <x v="8"/>
    <n v="3395"/>
    <n v="3395"/>
    <n v="0"/>
    <n v="0"/>
    <n v="0"/>
    <n v="0"/>
    <n v="9"/>
    <x v="1"/>
    <n v="0"/>
    <n v="22"/>
    <n v="0"/>
    <n v="0"/>
    <n v="22.34"/>
    <n v="0"/>
    <n v="0"/>
    <n v="30.26225635308667"/>
    <m/>
    <m/>
    <n v="75844.3"/>
    <n v="0"/>
    <n v="0"/>
    <n v="102740.36031872925"/>
    <n v="0"/>
    <n v="0"/>
  </r>
  <r>
    <s v="Regular"/>
    <x v="0"/>
    <x v="1"/>
    <x v="0"/>
    <x v="0"/>
    <x v="1"/>
    <x v="0"/>
    <x v="1"/>
    <x v="9"/>
    <n v="3398"/>
    <n v="3398"/>
    <n v="0"/>
    <n v="0"/>
    <n v="0"/>
    <n v="0"/>
    <n v="9"/>
    <x v="1"/>
    <n v="0"/>
    <n v="22"/>
    <n v="0"/>
    <n v="0"/>
    <n v="22.34"/>
    <n v="0"/>
    <n v="0"/>
    <n v="30.26225635308667"/>
    <m/>
    <m/>
    <n v="75911.319999999992"/>
    <n v="0"/>
    <n v="0"/>
    <n v="102831.1470877885"/>
    <n v="0"/>
    <n v="0"/>
  </r>
  <r>
    <s v="Regular"/>
    <x v="0"/>
    <x v="1"/>
    <x v="0"/>
    <x v="0"/>
    <x v="1"/>
    <x v="0"/>
    <x v="1"/>
    <x v="10"/>
    <n v="3394"/>
    <n v="3394"/>
    <n v="0"/>
    <n v="0"/>
    <n v="0"/>
    <n v="0"/>
    <n v="9"/>
    <x v="1"/>
    <n v="0"/>
    <n v="22"/>
    <n v="0"/>
    <n v="0"/>
    <n v="22.34"/>
    <n v="0"/>
    <n v="0"/>
    <n v="30.26225635308667"/>
    <m/>
    <m/>
    <n v="75821.960000000006"/>
    <n v="0"/>
    <n v="0"/>
    <n v="102710.09806237616"/>
    <n v="0"/>
    <n v="0"/>
  </r>
  <r>
    <s v="Regular"/>
    <x v="0"/>
    <x v="1"/>
    <x v="0"/>
    <x v="0"/>
    <x v="1"/>
    <x v="0"/>
    <x v="1"/>
    <x v="11"/>
    <n v="3416"/>
    <n v="3416"/>
    <n v="0"/>
    <n v="0"/>
    <n v="0"/>
    <n v="0"/>
    <n v="9"/>
    <x v="1"/>
    <n v="0"/>
    <n v="22"/>
    <n v="0"/>
    <n v="0"/>
    <n v="22.34"/>
    <n v="0"/>
    <n v="0"/>
    <n v="30.26225635308667"/>
    <m/>
    <m/>
    <n v="76313.440000000002"/>
    <n v="0"/>
    <n v="0"/>
    <n v="103375.86770214407"/>
    <n v="0"/>
    <n v="0"/>
  </r>
  <r>
    <s v="Regular"/>
    <x v="0"/>
    <x v="1"/>
    <x v="0"/>
    <x v="0"/>
    <x v="1"/>
    <x v="0"/>
    <x v="2"/>
    <x v="0"/>
    <n v="0"/>
    <n v="0"/>
    <n v="5.6669999999999998"/>
    <n v="5.6669999999999998"/>
    <n v="5.6669999999999998"/>
    <n v="5.6669999999999998"/>
    <n v="0"/>
    <x v="1"/>
    <n v="0"/>
    <n v="0"/>
    <n v="33"/>
    <n v="51"/>
    <n v="0"/>
    <n v="1936.94"/>
    <n v="267.91000000000003"/>
    <m/>
    <n v="2334.812641231822"/>
    <n v="185.42082399535556"/>
    <n v="0"/>
    <n v="10976.63898"/>
    <n v="1518.2459700000002"/>
    <n v="0"/>
    <n v="13231.383237860735"/>
    <n v="1050.77980958168"/>
  </r>
  <r>
    <s v="Regular"/>
    <x v="0"/>
    <x v="1"/>
    <x v="0"/>
    <x v="0"/>
    <x v="1"/>
    <x v="0"/>
    <x v="2"/>
    <x v="1"/>
    <n v="0"/>
    <n v="0"/>
    <n v="10.252000000000001"/>
    <n v="10.252000000000001"/>
    <n v="10.252000000000001"/>
    <n v="10.252000000000001"/>
    <n v="0"/>
    <x v="1"/>
    <n v="0"/>
    <n v="0"/>
    <n v="33"/>
    <n v="51"/>
    <n v="0"/>
    <n v="1936.94"/>
    <n v="267.91000000000003"/>
    <m/>
    <n v="2334.812641231822"/>
    <n v="185.42082399535556"/>
    <n v="0"/>
    <n v="19857.508880000001"/>
    <n v="2746.6133200000004"/>
    <n v="0"/>
    <n v="23936.499197908641"/>
    <n v="1900.9342876003852"/>
  </r>
  <r>
    <s v="Regular"/>
    <x v="0"/>
    <x v="1"/>
    <x v="0"/>
    <x v="0"/>
    <x v="1"/>
    <x v="0"/>
    <x v="2"/>
    <x v="2"/>
    <n v="0"/>
    <n v="0"/>
    <n v="8.1809999999999992"/>
    <n v="8.1809999999999992"/>
    <n v="8.1809999999999992"/>
    <n v="8.1809999999999992"/>
    <n v="0"/>
    <x v="1"/>
    <n v="0"/>
    <n v="0"/>
    <n v="33"/>
    <n v="51"/>
    <n v="0"/>
    <n v="1936.94"/>
    <n v="267.91000000000003"/>
    <m/>
    <n v="2334.812641231822"/>
    <n v="185.42082399535556"/>
    <n v="0"/>
    <n v="15846.106139999998"/>
    <n v="2191.77171"/>
    <n v="0"/>
    <n v="19101.102217917534"/>
    <n v="1516.9277611060038"/>
  </r>
  <r>
    <s v="Regular"/>
    <x v="0"/>
    <x v="1"/>
    <x v="0"/>
    <x v="0"/>
    <x v="1"/>
    <x v="0"/>
    <x v="2"/>
    <x v="3"/>
    <n v="0"/>
    <n v="0"/>
    <n v="8.7870000000000008"/>
    <n v="8.7870000000000008"/>
    <n v="8.7870000000000008"/>
    <n v="8.7870000000000008"/>
    <n v="0"/>
    <x v="1"/>
    <n v="0"/>
    <n v="0"/>
    <n v="33"/>
    <n v="51"/>
    <n v="0"/>
    <n v="1936.94"/>
    <n v="267.91000000000003"/>
    <m/>
    <n v="2334.812641231822"/>
    <n v="185.42082399535556"/>
    <n v="0"/>
    <n v="17019.891780000002"/>
    <n v="2354.1251700000003"/>
    <n v="0"/>
    <n v="20515.99867850402"/>
    <n v="1629.2927804471894"/>
  </r>
  <r>
    <s v="Regular"/>
    <x v="0"/>
    <x v="1"/>
    <x v="0"/>
    <x v="0"/>
    <x v="1"/>
    <x v="0"/>
    <x v="2"/>
    <x v="4"/>
    <n v="0"/>
    <n v="0"/>
    <n v="7.4649999999999999"/>
    <n v="7.4649999999999999"/>
    <n v="7.4649999999999999"/>
    <n v="7.4649999999999999"/>
    <n v="0"/>
    <x v="1"/>
    <n v="0"/>
    <n v="0"/>
    <n v="33"/>
    <n v="51"/>
    <n v="0"/>
    <n v="1936.94"/>
    <n v="267.91000000000003"/>
    <m/>
    <n v="2334.812641231822"/>
    <n v="185.42082399535556"/>
    <n v="0"/>
    <n v="14459.257100000001"/>
    <n v="1999.9481500000002"/>
    <n v="0"/>
    <n v="17429.37636679555"/>
    <n v="1384.1664511253293"/>
  </r>
  <r>
    <s v="Regular"/>
    <x v="0"/>
    <x v="1"/>
    <x v="0"/>
    <x v="0"/>
    <x v="1"/>
    <x v="0"/>
    <x v="2"/>
    <x v="5"/>
    <n v="0"/>
    <n v="0"/>
    <n v="7.3520000000000003"/>
    <n v="7.3520000000000003"/>
    <n v="7.3520000000000003"/>
    <n v="7.3520000000000003"/>
    <n v="0"/>
    <x v="1"/>
    <n v="0"/>
    <n v="0"/>
    <n v="33"/>
    <n v="51"/>
    <n v="0"/>
    <n v="1936.94"/>
    <n v="267.91000000000003"/>
    <m/>
    <n v="2334.812641231822"/>
    <n v="185.42082399535556"/>
    <n v="0"/>
    <n v="14240.382880000001"/>
    <n v="1969.6743200000003"/>
    <n v="0"/>
    <n v="17165.542538336354"/>
    <n v="1363.2138980138541"/>
  </r>
  <r>
    <s v="Regular"/>
    <x v="0"/>
    <x v="1"/>
    <x v="0"/>
    <x v="0"/>
    <x v="1"/>
    <x v="0"/>
    <x v="2"/>
    <x v="6"/>
    <n v="0"/>
    <n v="0"/>
    <n v="9.6989999999999998"/>
    <n v="9.6989999999999998"/>
    <n v="9.6989999999999998"/>
    <n v="9.6989999999999998"/>
    <n v="0"/>
    <x v="1"/>
    <n v="0"/>
    <n v="0"/>
    <n v="33"/>
    <n v="51"/>
    <n v="0"/>
    <n v="1936.94"/>
    <n v="267.91000000000003"/>
    <m/>
    <n v="2334.812641231822"/>
    <n v="185.42082399535556"/>
    <n v="0"/>
    <n v="18786.38106"/>
    <n v="2598.4590900000003"/>
    <n v="0"/>
    <n v="22645.34780730744"/>
    <n v="1798.3965719309535"/>
  </r>
  <r>
    <s v="Regular"/>
    <x v="0"/>
    <x v="1"/>
    <x v="0"/>
    <x v="0"/>
    <x v="1"/>
    <x v="0"/>
    <x v="2"/>
    <x v="7"/>
    <n v="0"/>
    <n v="0"/>
    <n v="11.846"/>
    <n v="11.846"/>
    <n v="11.846"/>
    <n v="11.846"/>
    <n v="0"/>
    <x v="1"/>
    <n v="0"/>
    <n v="0"/>
    <n v="33"/>
    <n v="51"/>
    <n v="0"/>
    <n v="1936.94"/>
    <n v="267.91000000000003"/>
    <m/>
    <n v="2334.812641231822"/>
    <n v="185.42082399535556"/>
    <n v="0"/>
    <n v="22944.991239999999"/>
    <n v="3173.6618600000002"/>
    <n v="0"/>
    <n v="27658.190548032162"/>
    <n v="2196.4950810489822"/>
  </r>
  <r>
    <s v="Regular"/>
    <x v="0"/>
    <x v="1"/>
    <x v="0"/>
    <x v="0"/>
    <x v="1"/>
    <x v="0"/>
    <x v="2"/>
    <x v="8"/>
    <n v="0"/>
    <n v="0"/>
    <n v="4.2039999999999997"/>
    <n v="4.2039999999999997"/>
    <n v="4.2039999999999997"/>
    <n v="4.2039999999999997"/>
    <n v="0"/>
    <x v="1"/>
    <n v="0"/>
    <n v="0"/>
    <n v="33"/>
    <n v="51"/>
    <n v="0"/>
    <n v="1936.94"/>
    <n v="267.91000000000003"/>
    <m/>
    <n v="2334.812641231822"/>
    <n v="185.42082399535556"/>
    <n v="0"/>
    <n v="8142.8957599999994"/>
    <n v="1126.2936400000001"/>
    <n v="0"/>
    <n v="9815.5523437385782"/>
    <n v="779.50914407647474"/>
  </r>
  <r>
    <s v="Regular"/>
    <x v="0"/>
    <x v="1"/>
    <x v="0"/>
    <x v="0"/>
    <x v="1"/>
    <x v="0"/>
    <x v="2"/>
    <x v="9"/>
    <n v="0"/>
    <n v="0"/>
    <n v="3.673"/>
    <n v="3.673"/>
    <n v="3.673"/>
    <n v="3.673"/>
    <n v="0"/>
    <x v="1"/>
    <n v="0"/>
    <n v="0"/>
    <n v="33"/>
    <n v="51"/>
    <n v="0"/>
    <n v="1936.94"/>
    <n v="267.91000000000003"/>
    <m/>
    <n v="2334.812641231822"/>
    <n v="185.42082399535556"/>
    <n v="0"/>
    <n v="7114.3806199999999"/>
    <n v="984.03343000000007"/>
    <n v="0"/>
    <n v="8575.7668312444821"/>
    <n v="681.05068653494095"/>
  </r>
  <r>
    <s v="Regular"/>
    <x v="0"/>
    <x v="1"/>
    <x v="0"/>
    <x v="0"/>
    <x v="1"/>
    <x v="0"/>
    <x v="2"/>
    <x v="10"/>
    <n v="0"/>
    <n v="0"/>
    <n v="3.6440000000000001"/>
    <n v="3.6440000000000001"/>
    <n v="3.6440000000000001"/>
    <n v="3.6440000000000001"/>
    <n v="0"/>
    <x v="1"/>
    <n v="0"/>
    <n v="0"/>
    <n v="33"/>
    <n v="51"/>
    <n v="0"/>
    <n v="1936.94"/>
    <n v="267.91000000000003"/>
    <m/>
    <n v="2334.812641231822"/>
    <n v="185.42082399535556"/>
    <n v="0"/>
    <n v="7058.2093600000007"/>
    <n v="976.26404000000014"/>
    <n v="0"/>
    <n v="8508.0572646487599"/>
    <n v="675.6734826390757"/>
  </r>
  <r>
    <s v="Regular"/>
    <x v="0"/>
    <x v="1"/>
    <x v="0"/>
    <x v="0"/>
    <x v="1"/>
    <x v="0"/>
    <x v="2"/>
    <x v="11"/>
    <n v="0"/>
    <n v="0"/>
    <n v="4.8970000000000002"/>
    <n v="4.8970000000000002"/>
    <n v="4.8970000000000002"/>
    <n v="4.8970000000000002"/>
    <n v="0"/>
    <x v="1"/>
    <n v="0"/>
    <n v="0"/>
    <n v="33"/>
    <n v="51"/>
    <n v="0"/>
    <n v="1936.94"/>
    <n v="267.91000000000003"/>
    <m/>
    <n v="2334.812641231822"/>
    <n v="185.42082399535556"/>
    <n v="0"/>
    <n v="9485.1951800000006"/>
    <n v="1311.9552700000002"/>
    <n v="0"/>
    <n v="11433.577504112232"/>
    <n v="908.00577510525625"/>
  </r>
  <r>
    <s v="Regular"/>
    <x v="0"/>
    <x v="1"/>
    <x v="2"/>
    <x v="1"/>
    <x v="2"/>
    <x v="0"/>
    <x v="0"/>
    <x v="0"/>
    <n v="0"/>
    <n v="0"/>
    <n v="554.65700000000004"/>
    <n v="166.39709999999999"/>
    <n v="554.65700000000004"/>
    <n v="166.39709999999999"/>
    <n v="0"/>
    <x v="1"/>
    <n v="0"/>
    <n v="0"/>
    <n v="15"/>
    <n v="67"/>
    <n v="0"/>
    <n v="56.92"/>
    <n v="267.91000000000003"/>
    <m/>
    <n v="101.17512561425467"/>
    <n v="185.42082399535556"/>
    <n v="0"/>
    <n v="9471.3229319999991"/>
    <n v="44579.447061000006"/>
    <n v="0"/>
    <n v="16835.247494347695"/>
    <n v="30853.487392437579"/>
  </r>
  <r>
    <s v="Regular"/>
    <x v="0"/>
    <x v="1"/>
    <x v="2"/>
    <x v="1"/>
    <x v="2"/>
    <x v="0"/>
    <x v="0"/>
    <x v="1"/>
    <n v="0"/>
    <n v="0"/>
    <n v="206.7"/>
    <n v="62.01"/>
    <n v="206.7"/>
    <n v="62.01"/>
    <n v="0"/>
    <x v="1"/>
    <n v="0"/>
    <n v="0"/>
    <n v="15"/>
    <n v="67"/>
    <n v="0"/>
    <n v="56.92"/>
    <n v="267.91000000000003"/>
    <m/>
    <n v="101.17512561425467"/>
    <n v="185.42082399535556"/>
    <n v="0"/>
    <n v="3529.6091999999999"/>
    <n v="16613.099099999999"/>
    <n v="0"/>
    <n v="6273.8695393399321"/>
    <n v="11497.945295951999"/>
  </r>
  <r>
    <s v="Regular"/>
    <x v="0"/>
    <x v="1"/>
    <x v="2"/>
    <x v="1"/>
    <x v="2"/>
    <x v="0"/>
    <x v="0"/>
    <x v="2"/>
    <n v="0"/>
    <n v="0"/>
    <n v="97.808000000000007"/>
    <n v="29.342400000000001"/>
    <n v="97.808000000000007"/>
    <n v="29.342400000000001"/>
    <n v="0"/>
    <x v="1"/>
    <n v="0"/>
    <n v="0"/>
    <n v="15"/>
    <n v="67"/>
    <n v="0"/>
    <n v="56.92"/>
    <n v="267.91000000000003"/>
    <m/>
    <n v="101.17512561425467"/>
    <n v="185.42082399535556"/>
    <n v="0"/>
    <n v="1670.1694080000002"/>
    <n v="7861.1223840000011"/>
    <n v="0"/>
    <n v="2968.7210058237065"/>
    <n v="5440.6919860013213"/>
  </r>
  <r>
    <s v="Regular"/>
    <x v="0"/>
    <x v="1"/>
    <x v="2"/>
    <x v="1"/>
    <x v="2"/>
    <x v="0"/>
    <x v="0"/>
    <x v="3"/>
    <n v="0"/>
    <n v="0"/>
    <n v="49.88"/>
    <n v="14.964"/>
    <n v="49.88"/>
    <n v="14.964"/>
    <n v="0"/>
    <x v="1"/>
    <n v="0"/>
    <n v="0"/>
    <n v="15"/>
    <n v="67"/>
    <n v="0"/>
    <n v="56.92"/>
    <n v="267.91000000000003"/>
    <m/>
    <n v="101.17512561425467"/>
    <n v="185.42082399535556"/>
    <n v="0"/>
    <n v="851.75088000000005"/>
    <n v="4009.0052400000004"/>
    <n v="0"/>
    <n v="1513.9845796917068"/>
    <n v="2774.6372102665009"/>
  </r>
  <r>
    <s v="Regular"/>
    <x v="0"/>
    <x v="1"/>
    <x v="2"/>
    <x v="1"/>
    <x v="2"/>
    <x v="0"/>
    <x v="0"/>
    <x v="4"/>
    <n v="0"/>
    <n v="0"/>
    <n v="35.671999999999997"/>
    <n v="10.701599999999999"/>
    <n v="35.671999999999997"/>
    <n v="10.701599999999999"/>
    <n v="0"/>
    <x v="1"/>
    <n v="0"/>
    <n v="0"/>
    <n v="15"/>
    <n v="67"/>
    <n v="0"/>
    <n v="56.92"/>
    <n v="267.91000000000003"/>
    <m/>
    <n v="101.17512561425467"/>
    <n v="185.42082399535556"/>
    <n v="0"/>
    <n v="609.13507199999992"/>
    <n v="2867.0656560000002"/>
    <n v="0"/>
    <n v="1082.7357242735077"/>
    <n v="1984.299490068697"/>
  </r>
  <r>
    <s v="Regular"/>
    <x v="0"/>
    <x v="1"/>
    <x v="2"/>
    <x v="1"/>
    <x v="2"/>
    <x v="0"/>
    <x v="0"/>
    <x v="5"/>
    <n v="0"/>
    <n v="0"/>
    <n v="72.75"/>
    <n v="21.824999999999999"/>
    <n v="72.75"/>
    <n v="21.824999999999999"/>
    <n v="0"/>
    <x v="1"/>
    <n v="0"/>
    <n v="0"/>
    <n v="15"/>
    <n v="67"/>
    <n v="0"/>
    <n v="56.92"/>
    <n v="267.91000000000003"/>
    <m/>
    <n v="101.17512561425467"/>
    <n v="185.42082399535556"/>
    <n v="0"/>
    <n v="1242.279"/>
    <n v="5847.1357500000004"/>
    <n v="0"/>
    <n v="2208.1471165311082"/>
    <n v="4046.8094836986352"/>
  </r>
  <r>
    <s v="Regular"/>
    <x v="0"/>
    <x v="1"/>
    <x v="2"/>
    <x v="1"/>
    <x v="2"/>
    <x v="0"/>
    <x v="0"/>
    <x v="6"/>
    <n v="0"/>
    <n v="0"/>
    <n v="84.724000000000004"/>
    <n v="25.417200000000001"/>
    <n v="84.724000000000004"/>
    <n v="25.417200000000001"/>
    <n v="0"/>
    <x v="1"/>
    <n v="0"/>
    <n v="0"/>
    <n v="15"/>
    <n v="67"/>
    <n v="0"/>
    <n v="56.92"/>
    <n v="267.91000000000003"/>
    <m/>
    <n v="101.17512561425467"/>
    <n v="185.42082399535556"/>
    <n v="0"/>
    <n v="1446.747024"/>
    <n v="6809.5220520000012"/>
    <n v="0"/>
    <n v="2571.5884027626339"/>
    <n v="4712.8781676547515"/>
  </r>
  <r>
    <s v="Regular"/>
    <x v="0"/>
    <x v="1"/>
    <x v="2"/>
    <x v="1"/>
    <x v="2"/>
    <x v="0"/>
    <x v="0"/>
    <x v="7"/>
    <n v="0"/>
    <n v="0"/>
    <n v="190.38499999999999"/>
    <n v="57.115499999999997"/>
    <n v="190.38499999999999"/>
    <n v="57.115499999999997"/>
    <n v="0"/>
    <x v="1"/>
    <n v="0"/>
    <n v="0"/>
    <n v="15"/>
    <n v="67"/>
    <n v="0"/>
    <n v="56.92"/>
    <n v="267.91000000000003"/>
    <m/>
    <n v="101.17512561425467"/>
    <n v="185.42082399535556"/>
    <n v="0"/>
    <n v="3251.0142599999999"/>
    <n v="15301.813605000001"/>
    <n v="0"/>
    <n v="5778.6678870209626"/>
    <n v="10590.403072906731"/>
  </r>
  <r>
    <s v="Regular"/>
    <x v="0"/>
    <x v="1"/>
    <x v="2"/>
    <x v="1"/>
    <x v="2"/>
    <x v="0"/>
    <x v="0"/>
    <x v="8"/>
    <n v="0"/>
    <n v="0"/>
    <n v="396.86799999999999"/>
    <n v="119.0604"/>
    <n v="396.86799999999999"/>
    <n v="119.0604"/>
    <n v="0"/>
    <x v="1"/>
    <n v="0"/>
    <n v="0"/>
    <n v="15"/>
    <n v="67"/>
    <n v="0"/>
    <n v="56.92"/>
    <n v="267.91000000000003"/>
    <m/>
    <n v="101.17512561425467"/>
    <n v="185.42082399535556"/>
    <n v="0"/>
    <n v="6776.9179680000007"/>
    <n v="31897.471764000002"/>
    <n v="0"/>
    <n v="12045.950925683406"/>
    <n v="22076.277473216633"/>
  </r>
  <r>
    <s v="Regular"/>
    <x v="0"/>
    <x v="1"/>
    <x v="2"/>
    <x v="1"/>
    <x v="2"/>
    <x v="0"/>
    <x v="0"/>
    <x v="9"/>
    <n v="0"/>
    <n v="0"/>
    <n v="112.074"/>
    <n v="33.622199999999999"/>
    <n v="112.074"/>
    <n v="33.622199999999999"/>
    <n v="0"/>
    <x v="1"/>
    <n v="0"/>
    <n v="0"/>
    <n v="15"/>
    <n v="67"/>
    <n v="0"/>
    <n v="56.92"/>
    <n v="267.91000000000003"/>
    <m/>
    <n v="101.17512561425467"/>
    <n v="185.42082399535556"/>
    <n v="0"/>
    <n v="1913.7756240000001"/>
    <n v="9007.723602"/>
    <n v="0"/>
    <n v="3401.7303084275932"/>
    <n v="6234.2560285366435"/>
  </r>
  <r>
    <s v="Regular"/>
    <x v="0"/>
    <x v="1"/>
    <x v="2"/>
    <x v="1"/>
    <x v="2"/>
    <x v="0"/>
    <x v="0"/>
    <x v="10"/>
    <n v="0"/>
    <n v="0"/>
    <n v="295.55399999999997"/>
    <n v="88.666200000000003"/>
    <n v="295.55399999999997"/>
    <n v="88.666200000000003"/>
    <n v="0"/>
    <x v="1"/>
    <n v="0"/>
    <n v="0"/>
    <n v="15"/>
    <n v="67"/>
    <n v="0"/>
    <n v="56.92"/>
    <n v="267.91000000000003"/>
    <m/>
    <n v="101.17512561425467"/>
    <n v="185.42082399535556"/>
    <n v="0"/>
    <n v="5046.8801040000008"/>
    <n v="23754.561642000004"/>
    <n v="0"/>
    <n v="8970.8139227386273"/>
    <n v="16440.559864536997"/>
  </r>
  <r>
    <s v="Regular"/>
    <x v="0"/>
    <x v="1"/>
    <x v="2"/>
    <x v="1"/>
    <x v="2"/>
    <x v="0"/>
    <x v="0"/>
    <x v="11"/>
    <n v="0"/>
    <n v="0"/>
    <n v="501.83199999999999"/>
    <n v="150.5496"/>
    <n v="501.83199999999999"/>
    <n v="150.5496"/>
    <n v="0"/>
    <x v="1"/>
    <n v="0"/>
    <n v="0"/>
    <n v="15"/>
    <n v="67"/>
    <n v="0"/>
    <n v="56.92"/>
    <n v="267.91000000000003"/>
    <m/>
    <n v="101.17512561425467"/>
    <n v="185.42082399535556"/>
    <n v="0"/>
    <n v="8569.2832319999998"/>
    <n v="40333.743336000007"/>
    <n v="0"/>
    <n v="15231.874691175793"/>
    <n v="27915.030884171181"/>
  </r>
  <r>
    <s v="Regular"/>
    <x v="0"/>
    <x v="1"/>
    <x v="2"/>
    <x v="1"/>
    <x v="1"/>
    <x v="0"/>
    <x v="0"/>
    <x v="0"/>
    <n v="0"/>
    <n v="0"/>
    <n v="822.55100000000004"/>
    <n v="789.64895999999999"/>
    <n v="822.55100000000004"/>
    <n v="789.64895999999999"/>
    <n v="0"/>
    <x v="1"/>
    <n v="0"/>
    <n v="0"/>
    <n v="15"/>
    <n v="67"/>
    <n v="0"/>
    <n v="56.92"/>
    <n v="267.91000000000003"/>
    <m/>
    <n v="101.17512561425467"/>
    <n v="185.42082399535556"/>
    <n v="0"/>
    <n v="44946.818803200003"/>
    <n v="211554.85287360003"/>
    <n v="0"/>
    <n v="79892.832719165555"/>
    <n v="146417.36083027557"/>
  </r>
  <r>
    <s v="Regular"/>
    <x v="0"/>
    <x v="1"/>
    <x v="2"/>
    <x v="1"/>
    <x v="1"/>
    <x v="0"/>
    <x v="0"/>
    <x v="1"/>
    <n v="0"/>
    <n v="0"/>
    <n v="357.52100000000002"/>
    <n v="343.22016000000002"/>
    <n v="357.52100000000002"/>
    <n v="343.22016000000002"/>
    <n v="0"/>
    <x v="1"/>
    <n v="0"/>
    <n v="0"/>
    <n v="15"/>
    <n v="67"/>
    <n v="0"/>
    <n v="56.92"/>
    <n v="267.91000000000003"/>
    <m/>
    <n v="101.17512561425467"/>
    <n v="185.42082399535556"/>
    <n v="0"/>
    <n v="19536.091507200003"/>
    <n v="91952.113065600017"/>
    <n v="0"/>
    <n v="34725.342801344588"/>
    <n v="63640.164879017779"/>
  </r>
  <r>
    <s v="Regular"/>
    <x v="0"/>
    <x v="1"/>
    <x v="2"/>
    <x v="1"/>
    <x v="1"/>
    <x v="0"/>
    <x v="0"/>
    <x v="2"/>
    <n v="0"/>
    <n v="0"/>
    <n v="145.73699999999999"/>
    <n v="139.90752000000001"/>
    <n v="145.73699999999999"/>
    <n v="139.90752000000001"/>
    <n v="0"/>
    <x v="1"/>
    <n v="0"/>
    <n v="0"/>
    <n v="15"/>
    <n v="67"/>
    <n v="0"/>
    <n v="56.92"/>
    <n v="267.91000000000003"/>
    <m/>
    <n v="101.17512561425467"/>
    <n v="185.42082399535556"/>
    <n v="0"/>
    <n v="7963.5360384000005"/>
    <n v="37482.623683200007"/>
    <n v="0"/>
    <n v="14155.160910378847"/>
    <n v="25941.767641546689"/>
  </r>
  <r>
    <s v="Regular"/>
    <x v="0"/>
    <x v="1"/>
    <x v="2"/>
    <x v="1"/>
    <x v="1"/>
    <x v="0"/>
    <x v="0"/>
    <x v="3"/>
    <n v="0"/>
    <n v="0"/>
    <n v="56.844000000000001"/>
    <n v="54.570239999999998"/>
    <n v="56.844000000000001"/>
    <n v="54.570239999999998"/>
    <n v="0"/>
    <x v="1"/>
    <n v="0"/>
    <n v="0"/>
    <n v="15"/>
    <n v="67"/>
    <n v="0"/>
    <n v="56.92"/>
    <n v="267.91000000000003"/>
    <m/>
    <n v="101.17512561425467"/>
    <n v="185.42082399535556"/>
    <n v="0"/>
    <n v="3106.1380607999999"/>
    <n v="14619.912998400001"/>
    <n v="0"/>
    <n v="5521.1508868000246"/>
    <n v="10118.458866424311"/>
  </r>
  <r>
    <s v="Regular"/>
    <x v="0"/>
    <x v="1"/>
    <x v="2"/>
    <x v="1"/>
    <x v="1"/>
    <x v="0"/>
    <x v="0"/>
    <x v="4"/>
    <n v="0"/>
    <n v="0"/>
    <n v="53.448999999999998"/>
    <n v="51.311039999999998"/>
    <n v="53.448999999999998"/>
    <n v="51.311039999999998"/>
    <n v="0"/>
    <x v="1"/>
    <n v="0"/>
    <n v="0"/>
    <n v="15"/>
    <n v="67"/>
    <n v="0"/>
    <n v="56.92"/>
    <n v="267.91000000000003"/>
    <m/>
    <n v="101.17512561425467"/>
    <n v="185.42082399535556"/>
    <n v="0"/>
    <n v="2920.6243967999999"/>
    <n v="13746.740726400001"/>
    <n v="0"/>
    <n v="5191.4009173980457"/>
    <n v="9514.1353168586484"/>
  </r>
  <r>
    <s v="Regular"/>
    <x v="0"/>
    <x v="1"/>
    <x v="2"/>
    <x v="1"/>
    <x v="1"/>
    <x v="0"/>
    <x v="0"/>
    <x v="5"/>
    <n v="0"/>
    <n v="0"/>
    <n v="74.162999999999997"/>
    <n v="71.196479999999994"/>
    <n v="74.162999999999997"/>
    <n v="71.196479999999994"/>
    <n v="0"/>
    <x v="1"/>
    <n v="0"/>
    <n v="0"/>
    <n v="15"/>
    <n v="67"/>
    <n v="0"/>
    <n v="56.92"/>
    <n v="267.91000000000003"/>
    <m/>
    <n v="101.17512561425467"/>
    <n v="185.42082399535556"/>
    <n v="0"/>
    <n v="4052.5036415999998"/>
    <n v="19074.248956800002"/>
    <n v="0"/>
    <n v="7203.3128072927693"/>
    <n v="13201.309987168852"/>
  </r>
  <r>
    <s v="Regular"/>
    <x v="0"/>
    <x v="1"/>
    <x v="2"/>
    <x v="1"/>
    <x v="1"/>
    <x v="0"/>
    <x v="0"/>
    <x v="6"/>
    <n v="0"/>
    <n v="0"/>
    <n v="66.212000000000003"/>
    <n v="63.563519999999997"/>
    <n v="66.212000000000003"/>
    <n v="63.563519999999997"/>
    <n v="0"/>
    <x v="1"/>
    <n v="0"/>
    <n v="0"/>
    <n v="15"/>
    <n v="67"/>
    <n v="0"/>
    <n v="56.92"/>
    <n v="267.91000000000003"/>
    <m/>
    <n v="101.17512561425467"/>
    <n v="185.42082399535556"/>
    <n v="0"/>
    <n v="3618.0355583999999"/>
    <n v="17029.302643200001"/>
    <n v="0"/>
    <n v="6431.0471204841888"/>
    <n v="11786.000254445262"/>
  </r>
  <r>
    <s v="Regular"/>
    <x v="0"/>
    <x v="1"/>
    <x v="2"/>
    <x v="1"/>
    <x v="1"/>
    <x v="0"/>
    <x v="0"/>
    <x v="7"/>
    <n v="0"/>
    <n v="0"/>
    <n v="178.85499999999999"/>
    <n v="171.70079999999999"/>
    <n v="178.85499999999999"/>
    <n v="171.70079999999999"/>
    <n v="0"/>
    <x v="1"/>
    <n v="0"/>
    <n v="0"/>
    <n v="15"/>
    <n v="67"/>
    <n v="0"/>
    <n v="56.92"/>
    <n v="267.91000000000003"/>
    <m/>
    <n v="101.17512561425467"/>
    <n v="185.42082399535556"/>
    <n v="0"/>
    <n v="9773.2095360000003"/>
    <n v="46000.361327999999"/>
    <n v="0"/>
    <n v="17371.850008068017"/>
    <n v="31836.903816661743"/>
  </r>
  <r>
    <s v="Regular"/>
    <x v="0"/>
    <x v="1"/>
    <x v="2"/>
    <x v="1"/>
    <x v="1"/>
    <x v="0"/>
    <x v="0"/>
    <x v="8"/>
    <n v="0"/>
    <n v="0"/>
    <n v="468.88299999999998"/>
    <n v="450.12768"/>
    <n v="468.88299999999998"/>
    <n v="450.12768"/>
    <n v="0"/>
    <x v="1"/>
    <n v="0"/>
    <n v="0"/>
    <n v="15"/>
    <n v="67"/>
    <n v="0"/>
    <n v="56.92"/>
    <n v="267.91000000000003"/>
    <m/>
    <n v="101.17512561425467"/>
    <n v="185.42082399535556"/>
    <n v="0"/>
    <n v="25621.2675456"/>
    <n v="120593.70674880002"/>
    <n v="0"/>
    <n v="45541.724566453027"/>
    <n v="83463.045328717722"/>
  </r>
  <r>
    <s v="Regular"/>
    <x v="0"/>
    <x v="1"/>
    <x v="2"/>
    <x v="1"/>
    <x v="1"/>
    <x v="0"/>
    <x v="0"/>
    <x v="9"/>
    <n v="0"/>
    <n v="0"/>
    <n v="106.05"/>
    <n v="101.80800000000001"/>
    <n v="106.05"/>
    <n v="101.80800000000001"/>
    <n v="0"/>
    <x v="1"/>
    <n v="0"/>
    <n v="0"/>
    <n v="15"/>
    <n v="67"/>
    <n v="0"/>
    <n v="56.92"/>
    <n v="267.91000000000003"/>
    <m/>
    <n v="101.17512561425467"/>
    <n v="185.42082399535556"/>
    <n v="0"/>
    <n v="5794.911360000001"/>
    <n v="27275.381280000005"/>
    <n v="0"/>
    <n v="10300.43718853604"/>
    <n v="18877.323249319161"/>
  </r>
  <r>
    <s v="Regular"/>
    <x v="0"/>
    <x v="1"/>
    <x v="2"/>
    <x v="1"/>
    <x v="1"/>
    <x v="0"/>
    <x v="0"/>
    <x v="10"/>
    <n v="0"/>
    <n v="0"/>
    <n v="361.17"/>
    <n v="346.72320000000002"/>
    <n v="361.17"/>
    <n v="346.72320000000002"/>
    <n v="0"/>
    <x v="1"/>
    <n v="0"/>
    <n v="0"/>
    <n v="15"/>
    <n v="67"/>
    <n v="0"/>
    <n v="56.92"/>
    <n v="267.91000000000003"/>
    <m/>
    <n v="101.17512561425467"/>
    <n v="185.42082399535556"/>
    <n v="0"/>
    <n v="19735.484544000003"/>
    <n v="92890.612512000007"/>
    <n v="0"/>
    <n v="35079.763313376345"/>
    <n v="64289.701442306468"/>
  </r>
  <r>
    <s v="Regular"/>
    <x v="0"/>
    <x v="1"/>
    <x v="2"/>
    <x v="1"/>
    <x v="1"/>
    <x v="0"/>
    <x v="0"/>
    <x v="11"/>
    <n v="0"/>
    <n v="0"/>
    <n v="668.76499999999999"/>
    <n v="642.01440000000002"/>
    <n v="668.76499999999999"/>
    <n v="642.01440000000002"/>
    <n v="0"/>
    <x v="1"/>
    <n v="0"/>
    <n v="0"/>
    <n v="15"/>
    <n v="67"/>
    <n v="0"/>
    <n v="56.92"/>
    <n v="267.91000000000003"/>
    <m/>
    <n v="101.17512561425467"/>
    <n v="185.42082399535556"/>
    <n v="0"/>
    <n v="36543.459648000004"/>
    <n v="172002.07790400003"/>
    <n v="0"/>
    <n v="64955.887566160345"/>
    <n v="119042.83906488381"/>
  </r>
  <r>
    <s v="Regular"/>
    <x v="0"/>
    <x v="1"/>
    <x v="2"/>
    <x v="1"/>
    <x v="1"/>
    <x v="0"/>
    <x v="1"/>
    <x v="0"/>
    <n v="3715"/>
    <n v="3566.4"/>
    <n v="0"/>
    <n v="0"/>
    <n v="0"/>
    <n v="0"/>
    <n v="11"/>
    <x v="1"/>
    <n v="0"/>
    <n v="22"/>
    <n v="0"/>
    <n v="0"/>
    <n v="22.34"/>
    <n v="0"/>
    <n v="0"/>
    <n v="30.26225635308667"/>
    <m/>
    <m/>
    <n v="79673.376000000004"/>
    <n v="0"/>
    <n v="0"/>
    <n v="107927.3110576483"/>
    <n v="0"/>
    <n v="0"/>
  </r>
  <r>
    <s v="Regular"/>
    <x v="0"/>
    <x v="1"/>
    <x v="2"/>
    <x v="1"/>
    <x v="1"/>
    <x v="0"/>
    <x v="1"/>
    <x v="1"/>
    <n v="4452"/>
    <n v="4273.92"/>
    <n v="0"/>
    <n v="0"/>
    <n v="0"/>
    <n v="0"/>
    <n v="11"/>
    <x v="1"/>
    <n v="0"/>
    <n v="22"/>
    <n v="0"/>
    <n v="0"/>
    <n v="22.34"/>
    <n v="0"/>
    <n v="0"/>
    <n v="30.26225635308667"/>
    <m/>
    <m/>
    <n v="95479.372799999997"/>
    <n v="0"/>
    <n v="0"/>
    <n v="129338.46267258418"/>
    <n v="0"/>
    <n v="0"/>
  </r>
  <r>
    <s v="Regular"/>
    <x v="0"/>
    <x v="1"/>
    <x v="2"/>
    <x v="1"/>
    <x v="1"/>
    <x v="0"/>
    <x v="1"/>
    <x v="2"/>
    <n v="2411"/>
    <n v="2314.56"/>
    <n v="0"/>
    <n v="0"/>
    <n v="0"/>
    <n v="0"/>
    <n v="11"/>
    <x v="1"/>
    <n v="0"/>
    <n v="22"/>
    <n v="0"/>
    <n v="0"/>
    <n v="22.34"/>
    <n v="0"/>
    <n v="0"/>
    <n v="30.26225635308667"/>
    <m/>
    <m/>
    <n v="51707.270400000001"/>
    <n v="0"/>
    <n v="0"/>
    <n v="70043.808064600278"/>
    <n v="0"/>
    <n v="0"/>
  </r>
  <r>
    <s v="Regular"/>
    <x v="0"/>
    <x v="1"/>
    <x v="2"/>
    <x v="1"/>
    <x v="1"/>
    <x v="0"/>
    <x v="1"/>
    <x v="3"/>
    <n v="1746"/>
    <n v="1676.16"/>
    <n v="0"/>
    <n v="0"/>
    <n v="0"/>
    <n v="0"/>
    <n v="11"/>
    <x v="1"/>
    <n v="0"/>
    <n v="22"/>
    <n v="0"/>
    <n v="0"/>
    <n v="22.34"/>
    <n v="0"/>
    <n v="0"/>
    <n v="30.26225635308667"/>
    <m/>
    <m/>
    <n v="37445.414400000001"/>
    <n v="0"/>
    <n v="0"/>
    <n v="50724.383608789758"/>
    <n v="0"/>
    <n v="0"/>
  </r>
  <r>
    <s v="Regular"/>
    <x v="0"/>
    <x v="1"/>
    <x v="2"/>
    <x v="1"/>
    <x v="1"/>
    <x v="0"/>
    <x v="1"/>
    <x v="4"/>
    <n v="1637"/>
    <n v="1571.52"/>
    <n v="0"/>
    <n v="0"/>
    <n v="0"/>
    <n v="0"/>
    <n v="11"/>
    <x v="1"/>
    <n v="0"/>
    <n v="22"/>
    <n v="0"/>
    <n v="0"/>
    <n v="22.34"/>
    <n v="0"/>
    <n v="0"/>
    <n v="30.26225635308667"/>
    <m/>
    <m/>
    <n v="35107.756800000003"/>
    <n v="0"/>
    <n v="0"/>
    <n v="47557.741104002765"/>
    <n v="0"/>
    <n v="0"/>
  </r>
  <r>
    <s v="Regular"/>
    <x v="0"/>
    <x v="1"/>
    <x v="2"/>
    <x v="1"/>
    <x v="1"/>
    <x v="0"/>
    <x v="1"/>
    <x v="5"/>
    <n v="1986"/>
    <n v="1906.56"/>
    <n v="0"/>
    <n v="0"/>
    <n v="0"/>
    <n v="0"/>
    <n v="11"/>
    <x v="1"/>
    <n v="0"/>
    <n v="22"/>
    <n v="0"/>
    <n v="0"/>
    <n v="22.34"/>
    <n v="0"/>
    <n v="0"/>
    <n v="30.26225635308667"/>
    <m/>
    <m/>
    <n v="42592.5504"/>
    <n v="0"/>
    <n v="0"/>
    <n v="57696.807472540917"/>
    <n v="0"/>
    <n v="0"/>
  </r>
  <r>
    <s v="Regular"/>
    <x v="0"/>
    <x v="1"/>
    <x v="2"/>
    <x v="1"/>
    <x v="1"/>
    <x v="0"/>
    <x v="1"/>
    <x v="6"/>
    <n v="1575"/>
    <n v="1512"/>
    <n v="0"/>
    <n v="0"/>
    <n v="0"/>
    <n v="0"/>
    <n v="10"/>
    <x v="1"/>
    <n v="0"/>
    <n v="22"/>
    <n v="0"/>
    <n v="0"/>
    <n v="22.34"/>
    <n v="0"/>
    <n v="0"/>
    <n v="30.26225635308667"/>
    <m/>
    <m/>
    <n v="33778.080000000002"/>
    <n v="0"/>
    <n v="0"/>
    <n v="45756.531605867043"/>
    <n v="0"/>
    <n v="0"/>
  </r>
  <r>
    <s v="Regular"/>
    <x v="0"/>
    <x v="1"/>
    <x v="2"/>
    <x v="1"/>
    <x v="1"/>
    <x v="0"/>
    <x v="1"/>
    <x v="7"/>
    <n v="2641"/>
    <n v="2535.36"/>
    <n v="0"/>
    <n v="0"/>
    <n v="0"/>
    <n v="0"/>
    <n v="10"/>
    <x v="1"/>
    <n v="0"/>
    <n v="22"/>
    <n v="0"/>
    <n v="0"/>
    <n v="22.34"/>
    <n v="0"/>
    <n v="0"/>
    <n v="30.26225635308667"/>
    <m/>
    <m/>
    <n v="56639.9424"/>
    <n v="0"/>
    <n v="0"/>
    <n v="76725.714267361822"/>
    <n v="0"/>
    <n v="0"/>
  </r>
  <r>
    <s v="Regular"/>
    <x v="0"/>
    <x v="1"/>
    <x v="2"/>
    <x v="1"/>
    <x v="1"/>
    <x v="0"/>
    <x v="1"/>
    <x v="8"/>
    <n v="3773"/>
    <n v="3622.08"/>
    <n v="0"/>
    <n v="0"/>
    <n v="0"/>
    <n v="0"/>
    <n v="11"/>
    <x v="1"/>
    <n v="0"/>
    <n v="22"/>
    <n v="0"/>
    <n v="0"/>
    <n v="22.34"/>
    <n v="0"/>
    <n v="0"/>
    <n v="30.26225635308667"/>
    <m/>
    <m/>
    <n v="80917.267200000002"/>
    <n v="0"/>
    <n v="0"/>
    <n v="109612.31349138817"/>
    <n v="0"/>
    <n v="0"/>
  </r>
  <r>
    <s v="Regular"/>
    <x v="0"/>
    <x v="1"/>
    <x v="2"/>
    <x v="1"/>
    <x v="1"/>
    <x v="0"/>
    <x v="1"/>
    <x v="9"/>
    <n v="3144"/>
    <n v="3018.24"/>
    <n v="0"/>
    <n v="0"/>
    <n v="0"/>
    <n v="0"/>
    <n v="11"/>
    <x v="1"/>
    <n v="0"/>
    <n v="22"/>
    <n v="0"/>
    <n v="0"/>
    <n v="22.34"/>
    <n v="0"/>
    <n v="0"/>
    <n v="30.26225635308667"/>
    <m/>
    <m/>
    <n v="67427.481599999999"/>
    <n v="0"/>
    <n v="0"/>
    <n v="91338.7526151403"/>
    <n v="0"/>
    <n v="0"/>
  </r>
  <r>
    <s v="Regular"/>
    <x v="0"/>
    <x v="1"/>
    <x v="2"/>
    <x v="1"/>
    <x v="1"/>
    <x v="0"/>
    <x v="1"/>
    <x v="10"/>
    <n v="3147"/>
    <n v="3021.12"/>
    <n v="0"/>
    <n v="0"/>
    <n v="0"/>
    <n v="0"/>
    <n v="11"/>
    <x v="1"/>
    <n v="0"/>
    <n v="22"/>
    <n v="0"/>
    <n v="0"/>
    <n v="22.34"/>
    <n v="0"/>
    <n v="0"/>
    <n v="30.26225635308667"/>
    <m/>
    <m/>
    <n v="67491.820800000001"/>
    <n v="0"/>
    <n v="0"/>
    <n v="91425.9079134372"/>
    <n v="0"/>
    <n v="0"/>
  </r>
  <r>
    <s v="Regular"/>
    <x v="0"/>
    <x v="1"/>
    <x v="2"/>
    <x v="1"/>
    <x v="1"/>
    <x v="0"/>
    <x v="1"/>
    <x v="11"/>
    <n v="3975"/>
    <n v="3816"/>
    <n v="0"/>
    <n v="0"/>
    <n v="0"/>
    <n v="0"/>
    <n v="11"/>
    <x v="1"/>
    <n v="0"/>
    <n v="22"/>
    <n v="0"/>
    <n v="0"/>
    <n v="22.34"/>
    <n v="0"/>
    <n v="0"/>
    <n v="30.26225635308667"/>
    <m/>
    <m/>
    <n v="85249.44"/>
    <n v="0"/>
    <n v="0"/>
    <n v="115480.77024337873"/>
    <n v="0"/>
    <n v="0"/>
  </r>
  <r>
    <s v="Regular"/>
    <x v="0"/>
    <x v="1"/>
    <x v="2"/>
    <x v="1"/>
    <x v="1"/>
    <x v="0"/>
    <x v="2"/>
    <x v="0"/>
    <n v="0"/>
    <n v="0"/>
    <n v="11.597"/>
    <n v="11.13312"/>
    <n v="11.597"/>
    <n v="11.13312"/>
    <n v="0"/>
    <x v="1"/>
    <n v="0"/>
    <n v="0"/>
    <n v="33"/>
    <n v="51"/>
    <n v="0"/>
    <n v="1936.94"/>
    <n v="267.91000000000003"/>
    <m/>
    <n v="2334.812641231822"/>
    <n v="185.42082399535556"/>
    <n v="0"/>
    <n v="21564.1854528"/>
    <n v="2982.6741792000003"/>
    <n v="0"/>
    <n v="25993.749312350821"/>
    <n v="2064.3122840391729"/>
  </r>
  <r>
    <s v="Regular"/>
    <x v="0"/>
    <x v="1"/>
    <x v="2"/>
    <x v="1"/>
    <x v="1"/>
    <x v="0"/>
    <x v="2"/>
    <x v="1"/>
    <n v="0"/>
    <n v="0"/>
    <n v="15.912000000000001"/>
    <n v="15.27552"/>
    <n v="15.912000000000001"/>
    <n v="15.27552"/>
    <n v="0"/>
    <x v="1"/>
    <n v="0"/>
    <n v="0"/>
    <n v="33"/>
    <n v="51"/>
    <n v="0"/>
    <n v="1936.94"/>
    <n v="267.91000000000003"/>
    <m/>
    <n v="2334.812641231822"/>
    <n v="185.42082399535556"/>
    <n v="0"/>
    <n v="29587.765708800001"/>
    <n v="4092.4645632000006"/>
    <n v="0"/>
    <n v="35665.477197389519"/>
    <n v="2832.3995053575341"/>
  </r>
  <r>
    <s v="Regular"/>
    <x v="0"/>
    <x v="1"/>
    <x v="2"/>
    <x v="1"/>
    <x v="1"/>
    <x v="0"/>
    <x v="2"/>
    <x v="2"/>
    <n v="0"/>
    <n v="0"/>
    <n v="8.5220000000000002"/>
    <n v="8.1811199999999999"/>
    <n v="8.5220000000000002"/>
    <n v="8.1811199999999999"/>
    <n v="0"/>
    <x v="1"/>
    <n v="0"/>
    <n v="0"/>
    <n v="33"/>
    <n v="51"/>
    <n v="0"/>
    <n v="1936.94"/>
    <n v="267.91000000000003"/>
    <m/>
    <n v="2334.812641231822"/>
    <n v="185.42082399535556"/>
    <n v="0"/>
    <n v="15846.338572800001"/>
    <n v="2191.8038592000003"/>
    <n v="0"/>
    <n v="19101.382395434484"/>
    <n v="1516.9500116048832"/>
  </r>
  <r>
    <s v="Regular"/>
    <x v="0"/>
    <x v="1"/>
    <x v="2"/>
    <x v="1"/>
    <x v="1"/>
    <x v="0"/>
    <x v="2"/>
    <x v="3"/>
    <n v="0"/>
    <n v="0"/>
    <n v="3.88"/>
    <n v="3.7248000000000001"/>
    <n v="3.88"/>
    <n v="3.7248000000000001"/>
    <n v="0"/>
    <x v="1"/>
    <n v="0"/>
    <n v="0"/>
    <n v="33"/>
    <n v="51"/>
    <n v="0"/>
    <n v="1936.94"/>
    <n v="267.91000000000003"/>
    <m/>
    <n v="2334.812641231822"/>
    <n v="185.42082399535556"/>
    <n v="0"/>
    <n v="7214.7141120000006"/>
    <n v="997.91116800000009"/>
    <n v="0"/>
    <n v="8696.7101260602903"/>
    <n v="690.65548521790038"/>
  </r>
  <r>
    <s v="Regular"/>
    <x v="0"/>
    <x v="1"/>
    <x v="2"/>
    <x v="1"/>
    <x v="1"/>
    <x v="0"/>
    <x v="2"/>
    <x v="4"/>
    <n v="0"/>
    <n v="0"/>
    <n v="4.8959999999999999"/>
    <n v="4.7001600000000003"/>
    <n v="4.8959999999999999"/>
    <n v="4.7001600000000003"/>
    <n v="0"/>
    <x v="1"/>
    <n v="0"/>
    <n v="0"/>
    <n v="33"/>
    <n v="51"/>
    <n v="0"/>
    <n v="1936.94"/>
    <n v="267.91000000000003"/>
    <m/>
    <n v="2334.812641231822"/>
    <n v="185.42082399535556"/>
    <n v="0"/>
    <n v="9103.9279104000016"/>
    <n v="1259.2198656000003"/>
    <n v="0"/>
    <n v="10973.992983812161"/>
    <n v="871.5075401100105"/>
  </r>
  <r>
    <s v="Regular"/>
    <x v="0"/>
    <x v="1"/>
    <x v="2"/>
    <x v="1"/>
    <x v="1"/>
    <x v="0"/>
    <x v="2"/>
    <x v="5"/>
    <n v="0"/>
    <n v="0"/>
    <n v="5.0060000000000002"/>
    <n v="4.8057600000000003"/>
    <n v="5.0060000000000002"/>
    <n v="4.8057600000000003"/>
    <n v="0"/>
    <x v="1"/>
    <n v="0"/>
    <n v="0"/>
    <n v="33"/>
    <n v="51"/>
    <n v="0"/>
    <n v="1936.94"/>
    <n v="267.91000000000003"/>
    <m/>
    <n v="2334.812641231822"/>
    <n v="185.42082399535556"/>
    <n v="0"/>
    <n v="9308.4687744000003"/>
    <n v="1287.5111616000002"/>
    <n v="0"/>
    <n v="11220.549198726241"/>
    <n v="891.08797912392004"/>
  </r>
  <r>
    <s v="Regular"/>
    <x v="0"/>
    <x v="1"/>
    <x v="2"/>
    <x v="1"/>
    <x v="1"/>
    <x v="0"/>
    <x v="2"/>
    <x v="6"/>
    <n v="0"/>
    <n v="0"/>
    <n v="3.8980000000000001"/>
    <n v="3.7420800000000001"/>
    <n v="3.8980000000000001"/>
    <n v="3.7420800000000001"/>
    <n v="0"/>
    <x v="1"/>
    <n v="0"/>
    <n v="0"/>
    <n v="33"/>
    <n v="51"/>
    <n v="0"/>
    <n v="1936.94"/>
    <n v="267.91000000000003"/>
    <m/>
    <n v="2334.812641231822"/>
    <n v="185.42082399535556"/>
    <n v="0"/>
    <n v="7248.1844352000007"/>
    <n v="1002.5406528000001"/>
    <n v="0"/>
    <n v="8737.0556885007773"/>
    <n v="693.85955705654021"/>
  </r>
  <r>
    <s v="Regular"/>
    <x v="0"/>
    <x v="1"/>
    <x v="2"/>
    <x v="1"/>
    <x v="1"/>
    <x v="0"/>
    <x v="2"/>
    <x v="7"/>
    <n v="0"/>
    <n v="0"/>
    <n v="4.7699999999999996"/>
    <n v="4.5792000000000002"/>
    <n v="4.7699999999999996"/>
    <n v="4.5792000000000002"/>
    <n v="0"/>
    <x v="1"/>
    <n v="0"/>
    <n v="0"/>
    <n v="33"/>
    <n v="51"/>
    <n v="0"/>
    <n v="1936.94"/>
    <n v="267.91000000000003"/>
    <m/>
    <n v="2334.812641231822"/>
    <n v="185.42082399535556"/>
    <n v="0"/>
    <n v="8869.6356480000013"/>
    <n v="1226.813472"/>
    <n v="0"/>
    <n v="10691.57404672876"/>
    <n v="849.07903723953223"/>
  </r>
  <r>
    <s v="Regular"/>
    <x v="0"/>
    <x v="1"/>
    <x v="2"/>
    <x v="1"/>
    <x v="1"/>
    <x v="0"/>
    <x v="2"/>
    <x v="8"/>
    <n v="0"/>
    <n v="0"/>
    <n v="4.7590000000000003"/>
    <n v="4.5686400000000003"/>
    <n v="4.7590000000000003"/>
    <n v="4.5686400000000003"/>
    <n v="0"/>
    <x v="1"/>
    <n v="0"/>
    <n v="0"/>
    <n v="33"/>
    <n v="51"/>
    <n v="0"/>
    <n v="1936.94"/>
    <n v="267.91000000000003"/>
    <m/>
    <n v="2334.812641231822"/>
    <n v="185.42082399535556"/>
    <n v="0"/>
    <n v="8849.1815616000004"/>
    <n v="1223.9843424000003"/>
    <n v="0"/>
    <n v="10666.918425237352"/>
    <n v="847.12099333814126"/>
  </r>
  <r>
    <s v="Regular"/>
    <x v="0"/>
    <x v="1"/>
    <x v="2"/>
    <x v="1"/>
    <x v="1"/>
    <x v="0"/>
    <x v="2"/>
    <x v="9"/>
    <n v="0"/>
    <n v="0"/>
    <n v="4.8280000000000003"/>
    <n v="4.6348799999999999"/>
    <n v="4.8280000000000003"/>
    <n v="4.6348799999999999"/>
    <n v="0"/>
    <x v="1"/>
    <n v="0"/>
    <n v="0"/>
    <n v="33"/>
    <n v="51"/>
    <n v="0"/>
    <n v="1936.94"/>
    <n v="267.91000000000003"/>
    <m/>
    <n v="2334.812641231822"/>
    <n v="185.42082399535556"/>
    <n v="0"/>
    <n v="8977.4844671999999"/>
    <n v="1241.7307008"/>
    <n v="0"/>
    <n v="10821.576414592548"/>
    <n v="859.4032687195936"/>
  </r>
  <r>
    <s v="Regular"/>
    <x v="0"/>
    <x v="1"/>
    <x v="2"/>
    <x v="1"/>
    <x v="1"/>
    <x v="0"/>
    <x v="2"/>
    <x v="10"/>
    <n v="0"/>
    <n v="0"/>
    <n v="6.4169999999999998"/>
    <n v="6.1603199999999996"/>
    <n v="6.4169999999999998"/>
    <n v="6.1603199999999996"/>
    <n v="0"/>
    <x v="1"/>
    <n v="0"/>
    <n v="0"/>
    <n v="33"/>
    <n v="51"/>
    <n v="0"/>
    <n v="1936.94"/>
    <n v="267.91000000000003"/>
    <m/>
    <n v="2334.812641231822"/>
    <n v="185.42082399535556"/>
    <n v="0"/>
    <n v="11932.170220799999"/>
    <n v="1650.4113311999999"/>
    <n v="0"/>
    <n v="14383.193010033217"/>
    <n v="1142.2516104750687"/>
  </r>
  <r>
    <s v="Regular"/>
    <x v="0"/>
    <x v="1"/>
    <x v="2"/>
    <x v="1"/>
    <x v="1"/>
    <x v="0"/>
    <x v="2"/>
    <x v="11"/>
    <n v="0"/>
    <n v="0"/>
    <n v="17.626000000000001"/>
    <n v="16.920960000000001"/>
    <n v="17.626000000000001"/>
    <n v="16.920960000000001"/>
    <n v="0"/>
    <x v="1"/>
    <n v="0"/>
    <n v="0"/>
    <n v="33"/>
    <n v="51"/>
    <n v="0"/>
    <n v="1936.94"/>
    <n v="267.91000000000003"/>
    <m/>
    <n v="2334.812641231822"/>
    <n v="185.42082399535556"/>
    <n v="0"/>
    <n v="32774.884262400003"/>
    <n v="4533.2943936000011"/>
    <n v="0"/>
    <n v="39507.271309778014"/>
    <n v="3137.498345992452"/>
  </r>
  <r>
    <s v="Regular"/>
    <x v="0"/>
    <x v="1"/>
    <x v="2"/>
    <x v="0"/>
    <x v="1"/>
    <x v="0"/>
    <x v="0"/>
    <x v="0"/>
    <n v="0"/>
    <n v="0"/>
    <n v="48.719000000000001"/>
    <n v="46.770240000000001"/>
    <n v="48.719000000000001"/>
    <n v="46.770240000000001"/>
    <n v="0"/>
    <x v="1"/>
    <n v="0"/>
    <n v="0"/>
    <n v="15"/>
    <n v="67"/>
    <n v="0"/>
    <n v="56.92"/>
    <n v="267.91000000000003"/>
    <m/>
    <n v="101.17512561425467"/>
    <n v="185.42082399535556"/>
    <n v="0"/>
    <n v="2662.1620608000003"/>
    <n v="12530.214998400001"/>
    <n v="0"/>
    <n v="4731.9849070088385"/>
    <n v="8672.1764392605382"/>
  </r>
  <r>
    <s v="Regular"/>
    <x v="0"/>
    <x v="1"/>
    <x v="2"/>
    <x v="0"/>
    <x v="1"/>
    <x v="0"/>
    <x v="0"/>
    <x v="1"/>
    <n v="0"/>
    <n v="0"/>
    <n v="18.87"/>
    <n v="18.115200000000002"/>
    <n v="18.87"/>
    <n v="18.115200000000002"/>
    <n v="0"/>
    <x v="1"/>
    <n v="0"/>
    <n v="0"/>
    <n v="15"/>
    <n v="67"/>
    <n v="0"/>
    <n v="56.92"/>
    <n v="267.91000000000003"/>
    <m/>
    <n v="101.17512561425467"/>
    <n v="185.42082399535556"/>
    <n v="0"/>
    <n v="1031.1171840000002"/>
    <n v="4853.2432320000007"/>
    <n v="0"/>
    <n v="1832.8076355273463"/>
    <n v="3358.9353108406654"/>
  </r>
  <r>
    <s v="Regular"/>
    <x v="0"/>
    <x v="1"/>
    <x v="2"/>
    <x v="0"/>
    <x v="1"/>
    <x v="0"/>
    <x v="0"/>
    <x v="2"/>
    <n v="0"/>
    <n v="0"/>
    <n v="16.084"/>
    <n v="15.44064"/>
    <n v="16.084"/>
    <n v="15.44064"/>
    <n v="0"/>
    <x v="1"/>
    <n v="0"/>
    <n v="0"/>
    <n v="15"/>
    <n v="67"/>
    <n v="0"/>
    <n v="56.92"/>
    <n v="267.91000000000003"/>
    <m/>
    <n v="101.17512561425467"/>
    <n v="185.42082399535556"/>
    <n v="0"/>
    <n v="878.88122880000003"/>
    <n v="4136.7018624000002"/>
    <n v="0"/>
    <n v="1562.2086915644852"/>
    <n v="2863.0161918156468"/>
  </r>
  <r>
    <s v="Regular"/>
    <x v="0"/>
    <x v="1"/>
    <x v="2"/>
    <x v="0"/>
    <x v="1"/>
    <x v="0"/>
    <x v="0"/>
    <x v="3"/>
    <n v="0"/>
    <n v="0"/>
    <n v="15.750999999999999"/>
    <n v="15.12096"/>
    <n v="15.750999999999999"/>
    <n v="15.12096"/>
    <n v="0"/>
    <x v="1"/>
    <n v="0"/>
    <n v="0"/>
    <n v="15"/>
    <n v="67"/>
    <n v="0"/>
    <n v="56.92"/>
    <n v="267.91000000000003"/>
    <m/>
    <n v="101.17512561425467"/>
    <n v="185.42082399535556"/>
    <n v="0"/>
    <n v="860.6850432"/>
    <n v="4051.0563936000003"/>
    <n v="0"/>
    <n v="1529.8650274081203"/>
    <n v="2803.7408628008116"/>
  </r>
  <r>
    <s v="Regular"/>
    <x v="0"/>
    <x v="1"/>
    <x v="2"/>
    <x v="0"/>
    <x v="1"/>
    <x v="0"/>
    <x v="0"/>
    <x v="4"/>
    <n v="0"/>
    <n v="0"/>
    <n v="14.541"/>
    <n v="13.95936"/>
    <n v="14.541"/>
    <n v="13.95936"/>
    <n v="0"/>
    <x v="1"/>
    <n v="0"/>
    <n v="0"/>
    <n v="15"/>
    <n v="67"/>
    <n v="0"/>
    <n v="56.92"/>
    <n v="267.91000000000003"/>
    <m/>
    <n v="101.17512561425467"/>
    <n v="185.42082399535556"/>
    <n v="0"/>
    <n v="794.56677120000006"/>
    <n v="3739.8521376000003"/>
    <n v="0"/>
    <n v="1412.3400014946021"/>
    <n v="2588.3560336478067"/>
  </r>
  <r>
    <s v="Regular"/>
    <x v="0"/>
    <x v="1"/>
    <x v="2"/>
    <x v="0"/>
    <x v="1"/>
    <x v="0"/>
    <x v="0"/>
    <x v="5"/>
    <n v="0"/>
    <n v="0"/>
    <n v="14.173"/>
    <n v="13.60608"/>
    <n v="14.173"/>
    <n v="13.60608"/>
    <n v="0"/>
    <x v="1"/>
    <n v="0"/>
    <n v="0"/>
    <n v="15"/>
    <n v="67"/>
    <n v="0"/>
    <n v="56.92"/>
    <n v="267.91000000000003"/>
    <m/>
    <n v="101.17512561425467"/>
    <n v="185.42082399535556"/>
    <n v="0"/>
    <n v="774.45807360000003"/>
    <n v="3645.2048928000004"/>
    <n v="0"/>
    <n v="1376.5968531175981"/>
    <n v="2522.8505649467274"/>
  </r>
  <r>
    <s v="Regular"/>
    <x v="0"/>
    <x v="1"/>
    <x v="2"/>
    <x v="0"/>
    <x v="1"/>
    <x v="0"/>
    <x v="0"/>
    <x v="6"/>
    <n v="0"/>
    <n v="0"/>
    <n v="17.863"/>
    <n v="17.148479999999999"/>
    <n v="17.863"/>
    <n v="17.148479999999999"/>
    <n v="0"/>
    <x v="1"/>
    <n v="0"/>
    <n v="0"/>
    <n v="15"/>
    <n v="67"/>
    <n v="0"/>
    <n v="56.92"/>
    <n v="267.91000000000003"/>
    <m/>
    <n v="101.17512561425467"/>
    <n v="185.42082399535556"/>
    <n v="0"/>
    <n v="976.09148159999995"/>
    <n v="4594.2492768000002"/>
    <n v="0"/>
    <n v="1734.9996180935339"/>
    <n v="3179.6852918678746"/>
  </r>
  <r>
    <s v="Regular"/>
    <x v="0"/>
    <x v="1"/>
    <x v="2"/>
    <x v="0"/>
    <x v="1"/>
    <x v="0"/>
    <x v="0"/>
    <x v="7"/>
    <n v="0"/>
    <n v="0"/>
    <n v="14.571"/>
    <n v="13.988160000000001"/>
    <n v="14.571"/>
    <n v="13.988160000000001"/>
    <n v="0"/>
    <x v="1"/>
    <n v="0"/>
    <n v="0"/>
    <n v="15"/>
    <n v="67"/>
    <n v="0"/>
    <n v="56.92"/>
    <n v="267.91000000000003"/>
    <m/>
    <n v="101.17512561425467"/>
    <n v="185.42082399535556"/>
    <n v="0"/>
    <n v="796.20606720000001"/>
    <n v="3747.5679456000007"/>
    <n v="0"/>
    <n v="1415.2538451122925"/>
    <n v="2593.6961533788731"/>
  </r>
  <r>
    <s v="Regular"/>
    <x v="0"/>
    <x v="1"/>
    <x v="2"/>
    <x v="0"/>
    <x v="1"/>
    <x v="0"/>
    <x v="0"/>
    <x v="8"/>
    <n v="0"/>
    <n v="0"/>
    <n v="71.816999999999993"/>
    <n v="68.944320000000005"/>
    <n v="71.816999999999993"/>
    <n v="68.944320000000005"/>
    <n v="0"/>
    <x v="1"/>
    <n v="0"/>
    <n v="0"/>
    <n v="15"/>
    <n v="67"/>
    <n v="0"/>
    <n v="56.92"/>
    <n v="267.91000000000003"/>
    <m/>
    <n v="101.17512561425467"/>
    <n v="185.42082399535556"/>
    <n v="0"/>
    <n v="3924.3106944000006"/>
    <n v="18470.872771200004"/>
    <n v="0"/>
    <n v="6975.4502363893707"/>
    <n v="12783.712624199474"/>
  </r>
  <r>
    <s v="Regular"/>
    <x v="0"/>
    <x v="1"/>
    <x v="2"/>
    <x v="0"/>
    <x v="1"/>
    <x v="0"/>
    <x v="0"/>
    <x v="9"/>
    <n v="0"/>
    <n v="0"/>
    <n v="86.54"/>
    <n v="83.078400000000002"/>
    <n v="86.54"/>
    <n v="83.078400000000002"/>
    <n v="0"/>
    <x v="1"/>
    <n v="0"/>
    <n v="0"/>
    <n v="15"/>
    <n v="67"/>
    <n v="0"/>
    <n v="56.92"/>
    <n v="267.91000000000003"/>
    <m/>
    <n v="101.17512561425467"/>
    <n v="185.42082399535556"/>
    <n v="0"/>
    <n v="4728.8225280000006"/>
    <n v="22257.534144000001"/>
    <n v="0"/>
    <n v="8405.4675558312956"/>
    <n v="15404.465384215748"/>
  </r>
  <r>
    <s v="Regular"/>
    <x v="0"/>
    <x v="1"/>
    <x v="2"/>
    <x v="0"/>
    <x v="1"/>
    <x v="0"/>
    <x v="0"/>
    <x v="10"/>
    <n v="0"/>
    <n v="0"/>
    <n v="71.212999999999994"/>
    <n v="68.36448"/>
    <n v="71.212999999999994"/>
    <n v="68.36448"/>
    <n v="0"/>
    <x v="1"/>
    <n v="0"/>
    <n v="0"/>
    <n v="15"/>
    <n v="67"/>
    <n v="0"/>
    <n v="56.92"/>
    <n v="267.91000000000003"/>
    <m/>
    <n v="101.17512561425467"/>
    <n v="185.42082399535556"/>
    <n v="0"/>
    <n v="3891.3062016000003"/>
    <n v="18315.527836800004"/>
    <n v="0"/>
    <n v="6916.7848515532014"/>
    <n v="12676.198213614005"/>
  </r>
  <r>
    <s v="Regular"/>
    <x v="0"/>
    <x v="1"/>
    <x v="2"/>
    <x v="0"/>
    <x v="1"/>
    <x v="0"/>
    <x v="0"/>
    <x v="11"/>
    <n v="0"/>
    <n v="0"/>
    <n v="71.887"/>
    <n v="69.011520000000004"/>
    <n v="71.887"/>
    <n v="69.011520000000004"/>
    <n v="0"/>
    <x v="1"/>
    <n v="0"/>
    <n v="0"/>
    <n v="15"/>
    <n v="67"/>
    <n v="0"/>
    <n v="56.92"/>
    <n v="267.91000000000003"/>
    <m/>
    <n v="101.17512561425467"/>
    <n v="185.42082399535556"/>
    <n v="0"/>
    <n v="3928.1357184000003"/>
    <n v="18488.876323200002"/>
    <n v="0"/>
    <n v="6982.2492048306485"/>
    <n v="12796.172903571962"/>
  </r>
  <r>
    <s v="Regular"/>
    <x v="0"/>
    <x v="1"/>
    <x v="2"/>
    <x v="0"/>
    <x v="1"/>
    <x v="0"/>
    <x v="1"/>
    <x v="0"/>
    <n v="283"/>
    <n v="271.68"/>
    <n v="0"/>
    <n v="0"/>
    <n v="0"/>
    <n v="0"/>
    <n v="3"/>
    <x v="1"/>
    <n v="0"/>
    <n v="22"/>
    <n v="0"/>
    <n v="0"/>
    <n v="22.34"/>
    <n v="0"/>
    <n v="0"/>
    <n v="30.26225635308667"/>
    <m/>
    <m/>
    <n v="6069.3312000000005"/>
    <n v="0"/>
    <n v="0"/>
    <n v="8221.649806006586"/>
    <n v="0"/>
    <n v="0"/>
  </r>
  <r>
    <s v="Regular"/>
    <x v="0"/>
    <x v="1"/>
    <x v="2"/>
    <x v="0"/>
    <x v="1"/>
    <x v="0"/>
    <x v="1"/>
    <x v="1"/>
    <n v="240"/>
    <n v="230.4"/>
    <n v="0"/>
    <n v="0"/>
    <n v="0"/>
    <n v="0"/>
    <n v="3"/>
    <x v="1"/>
    <n v="0"/>
    <n v="22"/>
    <n v="0"/>
    <n v="0"/>
    <n v="22.34"/>
    <n v="0"/>
    <n v="0"/>
    <n v="30.26225635308667"/>
    <m/>
    <m/>
    <n v="5147.1360000000004"/>
    <n v="0"/>
    <n v="0"/>
    <n v="6972.4238637511689"/>
    <n v="0"/>
    <n v="0"/>
  </r>
  <r>
    <s v="Regular"/>
    <x v="0"/>
    <x v="1"/>
    <x v="2"/>
    <x v="0"/>
    <x v="1"/>
    <x v="0"/>
    <x v="1"/>
    <x v="2"/>
    <n v="748"/>
    <n v="718.08"/>
    <n v="0"/>
    <n v="0"/>
    <n v="0"/>
    <n v="0"/>
    <n v="3"/>
    <x v="1"/>
    <n v="0"/>
    <n v="22"/>
    <n v="0"/>
    <n v="0"/>
    <n v="22.34"/>
    <n v="0"/>
    <n v="0"/>
    <n v="30.26225635308667"/>
    <m/>
    <m/>
    <n v="16041.907200000001"/>
    <n v="0"/>
    <n v="0"/>
    <n v="21730.721042024477"/>
    <n v="0"/>
    <n v="0"/>
  </r>
  <r>
    <s v="Regular"/>
    <x v="0"/>
    <x v="1"/>
    <x v="2"/>
    <x v="0"/>
    <x v="1"/>
    <x v="0"/>
    <x v="1"/>
    <x v="3"/>
    <n v="176"/>
    <n v="168.96"/>
    <n v="0"/>
    <n v="0"/>
    <n v="0"/>
    <n v="0"/>
    <n v="3"/>
    <x v="1"/>
    <n v="0"/>
    <n v="22"/>
    <n v="0"/>
    <n v="0"/>
    <n v="22.34"/>
    <n v="0"/>
    <n v="0"/>
    <n v="30.26225635308667"/>
    <m/>
    <m/>
    <n v="3774.5664000000002"/>
    <n v="0"/>
    <n v="0"/>
    <n v="5113.1108334175242"/>
    <n v="0"/>
    <n v="0"/>
  </r>
  <r>
    <s v="Regular"/>
    <x v="0"/>
    <x v="1"/>
    <x v="2"/>
    <x v="0"/>
    <x v="1"/>
    <x v="0"/>
    <x v="1"/>
    <x v="4"/>
    <n v="147"/>
    <n v="141.12"/>
    <n v="0"/>
    <n v="0"/>
    <n v="0"/>
    <n v="0"/>
    <n v="3"/>
    <x v="1"/>
    <n v="0"/>
    <n v="22"/>
    <n v="0"/>
    <n v="0"/>
    <n v="22.34"/>
    <n v="0"/>
    <n v="0"/>
    <n v="30.26225635308667"/>
    <m/>
    <m/>
    <n v="3152.6208000000001"/>
    <n v="0"/>
    <n v="0"/>
    <n v="4270.609616547591"/>
    <n v="0"/>
    <n v="0"/>
  </r>
  <r>
    <s v="Regular"/>
    <x v="0"/>
    <x v="1"/>
    <x v="2"/>
    <x v="0"/>
    <x v="1"/>
    <x v="0"/>
    <x v="1"/>
    <x v="5"/>
    <n v="158"/>
    <n v="151.68"/>
    <n v="0"/>
    <n v="0"/>
    <n v="0"/>
    <n v="0"/>
    <n v="3"/>
    <x v="1"/>
    <n v="0"/>
    <n v="22"/>
    <n v="0"/>
    <n v="0"/>
    <n v="22.34"/>
    <n v="0"/>
    <n v="0"/>
    <n v="30.26225635308667"/>
    <m/>
    <m/>
    <n v="3388.5312000000004"/>
    <n v="0"/>
    <n v="0"/>
    <n v="4590.1790436361862"/>
    <n v="0"/>
    <n v="0"/>
  </r>
  <r>
    <s v="Regular"/>
    <x v="0"/>
    <x v="1"/>
    <x v="2"/>
    <x v="0"/>
    <x v="1"/>
    <x v="0"/>
    <x v="1"/>
    <x v="6"/>
    <n v="158"/>
    <n v="151.68"/>
    <n v="0"/>
    <n v="0"/>
    <n v="0"/>
    <n v="0"/>
    <n v="3"/>
    <x v="1"/>
    <n v="0"/>
    <n v="22"/>
    <n v="0"/>
    <n v="0"/>
    <n v="22.34"/>
    <n v="0"/>
    <n v="0"/>
    <n v="30.26225635308667"/>
    <m/>
    <m/>
    <n v="3388.5312000000004"/>
    <n v="0"/>
    <n v="0"/>
    <n v="4590.1790436361862"/>
    <n v="0"/>
    <n v="0"/>
  </r>
  <r>
    <s v="Regular"/>
    <x v="0"/>
    <x v="1"/>
    <x v="2"/>
    <x v="0"/>
    <x v="1"/>
    <x v="0"/>
    <x v="1"/>
    <x v="7"/>
    <n v="151"/>
    <n v="144.96"/>
    <n v="0"/>
    <n v="0"/>
    <n v="0"/>
    <n v="0"/>
    <n v="3"/>
    <x v="1"/>
    <n v="0"/>
    <n v="22"/>
    <n v="0"/>
    <n v="0"/>
    <n v="22.34"/>
    <n v="0"/>
    <n v="0"/>
    <n v="30.26225635308667"/>
    <m/>
    <m/>
    <n v="3238.4064000000003"/>
    <n v="0"/>
    <n v="0"/>
    <n v="4386.8166809434442"/>
    <n v="0"/>
    <n v="0"/>
  </r>
  <r>
    <s v="Regular"/>
    <x v="0"/>
    <x v="1"/>
    <x v="2"/>
    <x v="0"/>
    <x v="1"/>
    <x v="0"/>
    <x v="1"/>
    <x v="8"/>
    <n v="465"/>
    <n v="446.4"/>
    <n v="0"/>
    <n v="0"/>
    <n v="0"/>
    <n v="0"/>
    <n v="3"/>
    <x v="1"/>
    <n v="0"/>
    <n v="22"/>
    <n v="0"/>
    <n v="0"/>
    <n v="22.34"/>
    <n v="0"/>
    <n v="0"/>
    <n v="30.26225635308667"/>
    <m/>
    <m/>
    <n v="9972.5759999999991"/>
    <n v="0"/>
    <n v="0"/>
    <n v="13509.07123601789"/>
    <n v="0"/>
    <n v="0"/>
  </r>
  <r>
    <s v="Regular"/>
    <x v="0"/>
    <x v="1"/>
    <x v="2"/>
    <x v="0"/>
    <x v="1"/>
    <x v="0"/>
    <x v="1"/>
    <x v="9"/>
    <n v="260"/>
    <n v="249.6"/>
    <n v="0"/>
    <n v="0"/>
    <n v="0"/>
    <n v="0"/>
    <n v="3"/>
    <x v="1"/>
    <n v="0"/>
    <n v="22"/>
    <n v="0"/>
    <n v="0"/>
    <n v="22.34"/>
    <n v="0"/>
    <n v="0"/>
    <n v="30.26225635308667"/>
    <m/>
    <m/>
    <n v="5576.0639999999994"/>
    <n v="0"/>
    <n v="0"/>
    <n v="7553.4591857304331"/>
    <n v="0"/>
    <n v="0"/>
  </r>
  <r>
    <s v="Regular"/>
    <x v="0"/>
    <x v="1"/>
    <x v="2"/>
    <x v="0"/>
    <x v="1"/>
    <x v="0"/>
    <x v="1"/>
    <x v="10"/>
    <n v="237"/>
    <n v="227.52"/>
    <n v="0"/>
    <n v="0"/>
    <n v="0"/>
    <n v="0"/>
    <n v="3"/>
    <x v="1"/>
    <n v="0"/>
    <n v="22"/>
    <n v="0"/>
    <n v="0"/>
    <n v="22.34"/>
    <n v="0"/>
    <n v="0"/>
    <n v="30.26225635308667"/>
    <m/>
    <m/>
    <n v="5082.7968000000001"/>
    <n v="0"/>
    <n v="0"/>
    <n v="6885.2685654542793"/>
    <n v="0"/>
    <n v="0"/>
  </r>
  <r>
    <s v="Regular"/>
    <x v="0"/>
    <x v="1"/>
    <x v="2"/>
    <x v="0"/>
    <x v="1"/>
    <x v="0"/>
    <x v="1"/>
    <x v="11"/>
    <n v="228"/>
    <n v="218.88"/>
    <n v="0"/>
    <n v="0"/>
    <n v="0"/>
    <n v="0"/>
    <n v="3"/>
    <x v="1"/>
    <n v="0"/>
    <n v="22"/>
    <n v="0"/>
    <n v="0"/>
    <n v="22.34"/>
    <n v="0"/>
    <n v="0"/>
    <n v="30.26225635308667"/>
    <m/>
    <m/>
    <n v="4889.7791999999999"/>
    <n v="0"/>
    <n v="0"/>
    <n v="6623.8026705636103"/>
    <n v="0"/>
    <n v="0"/>
  </r>
  <r>
    <s v="Regular"/>
    <x v="0"/>
    <x v="1"/>
    <x v="2"/>
    <x v="0"/>
    <x v="1"/>
    <x v="0"/>
    <x v="2"/>
    <x v="0"/>
    <n v="0"/>
    <n v="0"/>
    <n v="4.2469999999999999"/>
    <n v="4.0771199999999999"/>
    <n v="4.2469999999999999"/>
    <n v="4.0771199999999999"/>
    <n v="0"/>
    <x v="1"/>
    <n v="0"/>
    <n v="0"/>
    <n v="33"/>
    <n v="51"/>
    <n v="0"/>
    <n v="1936.94"/>
    <n v="267.91000000000003"/>
    <m/>
    <n v="2334.812641231822"/>
    <n v="185.42082399535556"/>
    <n v="0"/>
    <n v="7897.1368128000004"/>
    <n v="1092.3012192000001"/>
    <n v="0"/>
    <n v="9519.3113158190863"/>
    <n v="755.98294992794399"/>
  </r>
  <r>
    <s v="Regular"/>
    <x v="0"/>
    <x v="1"/>
    <x v="2"/>
    <x v="0"/>
    <x v="1"/>
    <x v="0"/>
    <x v="2"/>
    <x v="1"/>
    <n v="0"/>
    <n v="0"/>
    <n v="1.5149999999999999"/>
    <n v="1.4543999999999999"/>
    <n v="1.5149999999999999"/>
    <n v="1.4543999999999999"/>
    <n v="0"/>
    <x v="1"/>
    <n v="0"/>
    <n v="0"/>
    <n v="33"/>
    <n v="51"/>
    <n v="0"/>
    <n v="1936.94"/>
    <n v="267.91000000000003"/>
    <m/>
    <n v="2334.812641231822"/>
    <n v="185.42082399535556"/>
    <n v="0"/>
    <n v="2817.085536"/>
    <n v="389.648304"/>
    <n v="0"/>
    <n v="3395.7515054075616"/>
    <n v="269.67604641884509"/>
  </r>
  <r>
    <s v="Regular"/>
    <x v="0"/>
    <x v="1"/>
    <x v="2"/>
    <x v="0"/>
    <x v="1"/>
    <x v="0"/>
    <x v="2"/>
    <x v="2"/>
    <n v="0"/>
    <n v="0"/>
    <n v="1.4079999999999999"/>
    <n v="1.35168"/>
    <n v="1.4079999999999999"/>
    <n v="1.35168"/>
    <n v="0"/>
    <x v="1"/>
    <n v="0"/>
    <n v="0"/>
    <n v="33"/>
    <n v="51"/>
    <n v="0"/>
    <n v="1936.94"/>
    <n v="267.91000000000003"/>
    <m/>
    <n v="2334.812641231822"/>
    <n v="185.42082399535556"/>
    <n v="0"/>
    <n v="2618.1230592000002"/>
    <n v="362.12858880000005"/>
    <n v="0"/>
    <n v="3155.9195509002293"/>
    <n v="250.62961937804221"/>
  </r>
  <r>
    <s v="Regular"/>
    <x v="0"/>
    <x v="1"/>
    <x v="2"/>
    <x v="0"/>
    <x v="1"/>
    <x v="0"/>
    <x v="2"/>
    <x v="3"/>
    <n v="0"/>
    <n v="0"/>
    <n v="1.385"/>
    <n v="1.3295999999999999"/>
    <n v="1.385"/>
    <n v="1.3295999999999999"/>
    <n v="0"/>
    <x v="1"/>
    <n v="0"/>
    <n v="0"/>
    <n v="33"/>
    <n v="51"/>
    <n v="0"/>
    <n v="1936.94"/>
    <n v="267.91000000000003"/>
    <m/>
    <n v="2334.812641231822"/>
    <n v="185.42082399535556"/>
    <n v="0"/>
    <n v="2575.3554239999999"/>
    <n v="356.21313600000002"/>
    <n v="0"/>
    <n v="3104.3668877818304"/>
    <n v="246.53552758422472"/>
  </r>
  <r>
    <s v="Regular"/>
    <x v="0"/>
    <x v="1"/>
    <x v="2"/>
    <x v="0"/>
    <x v="1"/>
    <x v="0"/>
    <x v="2"/>
    <x v="4"/>
    <n v="0"/>
    <n v="0"/>
    <n v="1.2430000000000001"/>
    <n v="1.1932799999999999"/>
    <n v="1.2430000000000001"/>
    <n v="1.1932799999999999"/>
    <n v="0"/>
    <x v="1"/>
    <n v="0"/>
    <n v="0"/>
    <n v="33"/>
    <n v="51"/>
    <n v="0"/>
    <n v="1936.94"/>
    <n v="267.91000000000003"/>
    <m/>
    <n v="2334.812641231822"/>
    <n v="185.42082399535556"/>
    <n v="0"/>
    <n v="2311.3117631999999"/>
    <n v="319.69164480000001"/>
    <n v="0"/>
    <n v="2786.0852285291085"/>
    <n v="221.25896085717787"/>
  </r>
  <r>
    <s v="Regular"/>
    <x v="0"/>
    <x v="1"/>
    <x v="2"/>
    <x v="0"/>
    <x v="1"/>
    <x v="0"/>
    <x v="2"/>
    <x v="5"/>
    <n v="0"/>
    <n v="0"/>
    <n v="1.1970000000000001"/>
    <n v="1.1491199999999999"/>
    <n v="1.1970000000000001"/>
    <n v="1.1491199999999999"/>
    <n v="0"/>
    <x v="1"/>
    <n v="0"/>
    <n v="0"/>
    <n v="33"/>
    <n v="51"/>
    <n v="0"/>
    <n v="1936.94"/>
    <n v="267.91000000000003"/>
    <m/>
    <n v="2334.812641231822"/>
    <n v="185.42082399535556"/>
    <n v="0"/>
    <n v="2225.7764927999997"/>
    <n v="307.86073920000001"/>
    <n v="0"/>
    <n v="2682.9799022923112"/>
    <n v="213.07077726954296"/>
  </r>
  <r>
    <s v="Regular"/>
    <x v="0"/>
    <x v="1"/>
    <x v="2"/>
    <x v="0"/>
    <x v="1"/>
    <x v="0"/>
    <x v="2"/>
    <x v="6"/>
    <n v="0"/>
    <n v="0"/>
    <n v="1.4970000000000001"/>
    <n v="1.43712"/>
    <n v="1.4970000000000001"/>
    <n v="1.43712"/>
    <n v="0"/>
    <x v="1"/>
    <n v="0"/>
    <n v="0"/>
    <n v="33"/>
    <n v="51"/>
    <n v="0"/>
    <n v="1936.94"/>
    <n v="267.91000000000003"/>
    <m/>
    <n v="2334.812641231822"/>
    <n v="185.42082399535556"/>
    <n v="0"/>
    <n v="2783.6152127999999"/>
    <n v="385.0188192"/>
    <n v="0"/>
    <n v="3355.405942967076"/>
    <n v="266.47197458020537"/>
  </r>
  <r>
    <s v="Regular"/>
    <x v="0"/>
    <x v="1"/>
    <x v="2"/>
    <x v="0"/>
    <x v="1"/>
    <x v="0"/>
    <x v="2"/>
    <x v="7"/>
    <n v="0"/>
    <n v="0"/>
    <n v="1.2509999999999999"/>
    <n v="1.20096"/>
    <n v="1.2509999999999999"/>
    <n v="1.20096"/>
    <n v="0"/>
    <x v="1"/>
    <n v="0"/>
    <n v="0"/>
    <n v="33"/>
    <n v="51"/>
    <n v="0"/>
    <n v="1936.94"/>
    <n v="267.91000000000003"/>
    <m/>
    <n v="2334.812641231822"/>
    <n v="185.42082399535556"/>
    <n v="0"/>
    <n v="2326.1874624000002"/>
    <n v="321.74919360000001"/>
    <n v="0"/>
    <n v="2804.0165896137692"/>
    <n v="222.68299278546223"/>
  </r>
  <r>
    <s v="Regular"/>
    <x v="0"/>
    <x v="1"/>
    <x v="2"/>
    <x v="0"/>
    <x v="1"/>
    <x v="0"/>
    <x v="2"/>
    <x v="8"/>
    <n v="0"/>
    <n v="0"/>
    <n v="6.758"/>
    <n v="6.4876800000000001"/>
    <n v="6.758"/>
    <n v="6.4876800000000001"/>
    <n v="0"/>
    <x v="1"/>
    <n v="0"/>
    <n v="0"/>
    <n v="33"/>
    <n v="51"/>
    <n v="0"/>
    <n v="1936.94"/>
    <n v="267.91000000000003"/>
    <m/>
    <n v="2334.812641231822"/>
    <n v="185.42082399535556"/>
    <n v="0"/>
    <n v="12566.246899200001"/>
    <n v="1738.1143488000002"/>
    <n v="0"/>
    <n v="15147.517276266868"/>
    <n v="1202.9509714181884"/>
  </r>
  <r>
    <s v="Regular"/>
    <x v="0"/>
    <x v="1"/>
    <x v="2"/>
    <x v="0"/>
    <x v="1"/>
    <x v="0"/>
    <x v="2"/>
    <x v="9"/>
    <n v="0"/>
    <n v="0"/>
    <n v="8.375"/>
    <n v="8.0399999999999991"/>
    <n v="8.375"/>
    <n v="8.0399999999999991"/>
    <n v="0"/>
    <x v="1"/>
    <n v="0"/>
    <n v="0"/>
    <n v="33"/>
    <n v="51"/>
    <n v="0"/>
    <n v="1936.94"/>
    <n v="267.91000000000003"/>
    <m/>
    <n v="2334.812641231822"/>
    <n v="185.42082399535556"/>
    <n v="0"/>
    <n v="15572.997599999999"/>
    <n v="2153.9964"/>
    <n v="0"/>
    <n v="18771.893635503846"/>
    <n v="1490.7834249226585"/>
  </r>
  <r>
    <s v="Regular"/>
    <x v="0"/>
    <x v="1"/>
    <x v="2"/>
    <x v="0"/>
    <x v="1"/>
    <x v="0"/>
    <x v="2"/>
    <x v="10"/>
    <n v="0"/>
    <n v="0"/>
    <n v="6.0789999999999997"/>
    <n v="5.8358400000000001"/>
    <n v="6.0789999999999997"/>
    <n v="5.8358400000000001"/>
    <n v="0"/>
    <x v="1"/>
    <n v="0"/>
    <n v="0"/>
    <n v="33"/>
    <n v="51"/>
    <n v="0"/>
    <n v="1936.94"/>
    <n v="267.91000000000003"/>
    <m/>
    <n v="2334.812641231822"/>
    <n v="185.42082399535556"/>
    <n v="0"/>
    <n v="11303.671929600001"/>
    <n v="1563.4798944000001"/>
    <n v="0"/>
    <n v="13625.593004206316"/>
    <n v="1082.0862615050557"/>
  </r>
  <r>
    <s v="Regular"/>
    <x v="0"/>
    <x v="1"/>
    <x v="2"/>
    <x v="0"/>
    <x v="1"/>
    <x v="0"/>
    <x v="2"/>
    <x v="11"/>
    <n v="0"/>
    <n v="0"/>
    <n v="7.3"/>
    <n v="7.008"/>
    <n v="7.3"/>
    <n v="7.008"/>
    <n v="0"/>
    <x v="1"/>
    <n v="0"/>
    <n v="0"/>
    <n v="33"/>
    <n v="51"/>
    <n v="0"/>
    <n v="1936.94"/>
    <n v="267.91000000000003"/>
    <m/>
    <n v="2334.812641231822"/>
    <n v="185.42082399535556"/>
    <n v="0"/>
    <n v="13574.07552"/>
    <n v="1877.5132800000001"/>
    <n v="0"/>
    <n v="16362.366989752609"/>
    <n v="1299.4291345594518"/>
  </r>
  <r>
    <s v="Regular"/>
    <x v="1"/>
    <x v="2"/>
    <x v="3"/>
    <x v="2"/>
    <x v="1"/>
    <x v="0"/>
    <x v="1"/>
    <x v="0"/>
    <n v="0"/>
    <n v="0"/>
    <n v="544.54100000000005"/>
    <n v="544.54100000000005"/>
    <n v="544.54100000000005"/>
    <n v="544.54100000000005"/>
    <n v="3503"/>
    <x v="1"/>
    <n v="0"/>
    <n v="0"/>
    <n v="6"/>
    <n v="32"/>
    <n v="0"/>
    <n v="367.75"/>
    <n v="267.91000000000003"/>
    <m/>
    <n v="457.81459354608398"/>
    <n v="185.42082399535556"/>
    <n v="0"/>
    <n v="200254.95275000003"/>
    <n v="145887.97931000002"/>
    <n v="0"/>
    <n v="249298.81658417813"/>
    <n v="100969.24091925492"/>
  </r>
  <r>
    <s v="Refaturamento - Regular"/>
    <x v="1"/>
    <x v="2"/>
    <x v="3"/>
    <x v="2"/>
    <x v="1"/>
    <x v="0"/>
    <x v="1"/>
    <x v="0"/>
    <n v="0"/>
    <n v="0"/>
    <n v="-0.17699999999999999"/>
    <n v="-0.17699999999999999"/>
    <n v="-0.17699999999999999"/>
    <n v="-0.17699999999999999"/>
    <n v="0"/>
    <x v="1"/>
    <n v="0"/>
    <n v="0"/>
    <n v="6"/>
    <n v="32"/>
    <n v="0"/>
    <n v="367.75"/>
    <n v="267.91000000000003"/>
    <m/>
    <n v="457.81459354608398"/>
    <n v="185.42082399535556"/>
    <n v="0"/>
    <n v="-65.09174999999999"/>
    <n v="-47.420070000000003"/>
    <n v="0"/>
    <n v="-81.033183057656856"/>
    <n v="-32.81948584717793"/>
  </r>
  <r>
    <s v="Sistema de Compensação"/>
    <x v="1"/>
    <x v="2"/>
    <x v="3"/>
    <x v="2"/>
    <x v="1"/>
    <x v="0"/>
    <x v="1"/>
    <x v="0"/>
    <n v="0"/>
    <n v="0"/>
    <n v="1.4990000000000001"/>
    <n v="1.4990000000000001"/>
    <n v="1.4990000000000001"/>
    <n v="1.4990000000000001"/>
    <n v="13"/>
    <x v="1"/>
    <n v="0"/>
    <n v="0"/>
    <n v="6"/>
    <n v="32"/>
    <n v="0"/>
    <n v="367.75"/>
    <n v="267.91000000000003"/>
    <m/>
    <n v="457.81459354608398"/>
    <n v="185.42082399535556"/>
    <n v="0"/>
    <n v="551.25725"/>
    <n v="401.59709000000009"/>
    <n v="0"/>
    <n v="686.26407572557991"/>
    <n v="277.94581516903799"/>
  </r>
  <r>
    <s v="Regular"/>
    <x v="1"/>
    <x v="2"/>
    <x v="3"/>
    <x v="2"/>
    <x v="1"/>
    <x v="0"/>
    <x v="1"/>
    <x v="1"/>
    <n v="0"/>
    <n v="0"/>
    <n v="573.27800000000002"/>
    <n v="573.27800000000002"/>
    <n v="573.27800000000002"/>
    <n v="573.27800000000002"/>
    <n v="3514"/>
    <x v="1"/>
    <n v="0"/>
    <n v="0"/>
    <n v="6"/>
    <n v="32"/>
    <n v="0"/>
    <n v="367.75"/>
    <n v="267.91000000000003"/>
    <m/>
    <n v="457.81459354608398"/>
    <n v="185.42082399535556"/>
    <n v="0"/>
    <n v="210822.98450000002"/>
    <n v="153586.90898000001"/>
    <n v="0"/>
    <n v="262455.03455891192"/>
    <n v="106297.67913840945"/>
  </r>
  <r>
    <s v="Refaturamento - Regular"/>
    <x v="1"/>
    <x v="2"/>
    <x v="3"/>
    <x v="2"/>
    <x v="1"/>
    <x v="0"/>
    <x v="1"/>
    <x v="1"/>
    <n v="0"/>
    <n v="0"/>
    <n v="-0.42"/>
    <n v="-0.42"/>
    <n v="-0.42"/>
    <n v="-0.42"/>
    <n v="0"/>
    <x v="1"/>
    <n v="0"/>
    <n v="0"/>
    <n v="6"/>
    <n v="32"/>
    <n v="0"/>
    <n v="367.75"/>
    <n v="267.91000000000003"/>
    <m/>
    <n v="457.81459354608398"/>
    <n v="185.42082399535556"/>
    <n v="0"/>
    <n v="-154.45499999999998"/>
    <n v="-112.52220000000001"/>
    <n v="0"/>
    <n v="-192.28212928935525"/>
    <n v="-77.876746078049337"/>
  </r>
  <r>
    <s v="Sistema de Compensação"/>
    <x v="1"/>
    <x v="2"/>
    <x v="3"/>
    <x v="2"/>
    <x v="1"/>
    <x v="0"/>
    <x v="1"/>
    <x v="1"/>
    <n v="0"/>
    <n v="0"/>
    <n v="2.004"/>
    <n v="2.004"/>
    <n v="2.004"/>
    <n v="2.004"/>
    <n v="15"/>
    <x v="1"/>
    <n v="0"/>
    <n v="0"/>
    <n v="6"/>
    <n v="32"/>
    <n v="0"/>
    <n v="367.75"/>
    <n v="267.91000000000003"/>
    <m/>
    <n v="457.81459354608398"/>
    <n v="185.42082399535556"/>
    <n v="0"/>
    <n v="736.971"/>
    <n v="536.89164000000005"/>
    <n v="0"/>
    <n v="917.46044546635233"/>
    <n v="371.58333128669256"/>
  </r>
  <r>
    <s v="Regular"/>
    <x v="1"/>
    <x v="2"/>
    <x v="3"/>
    <x v="2"/>
    <x v="1"/>
    <x v="0"/>
    <x v="1"/>
    <x v="2"/>
    <n v="0"/>
    <n v="0"/>
    <n v="566.21199999999999"/>
    <n v="566.21199999999999"/>
    <n v="566.21199999999999"/>
    <n v="566.21199999999999"/>
    <n v="3523"/>
    <x v="1"/>
    <n v="0"/>
    <n v="0"/>
    <n v="6"/>
    <n v="32"/>
    <n v="0"/>
    <n v="367.75"/>
    <n v="267.91000000000003"/>
    <m/>
    <n v="457.81459354608398"/>
    <n v="185.42082399535556"/>
    <n v="0"/>
    <n v="208224.46299999999"/>
    <n v="151693.85692000002"/>
    <n v="0"/>
    <n v="259220.11664091531"/>
    <n v="104987.49559605826"/>
  </r>
  <r>
    <s v="Refaturamento - Regular"/>
    <x v="1"/>
    <x v="2"/>
    <x v="3"/>
    <x v="2"/>
    <x v="1"/>
    <x v="0"/>
    <x v="1"/>
    <x v="2"/>
    <n v="0"/>
    <n v="0"/>
    <n v="-1.0999999999999999E-2"/>
    <n v="-1.0999999999999999E-2"/>
    <n v="-1.0999999999999999E-2"/>
    <n v="-1.0999999999999999E-2"/>
    <n v="0"/>
    <x v="1"/>
    <n v="0"/>
    <n v="0"/>
    <n v="6"/>
    <n v="32"/>
    <n v="0"/>
    <n v="367.75"/>
    <n v="267.91000000000003"/>
    <m/>
    <n v="457.81459354608398"/>
    <n v="185.42082399535556"/>
    <n v="0"/>
    <n v="-4.0452499999999993"/>
    <n v="-2.9470100000000001"/>
    <n v="0"/>
    <n v="-5.0359605290069238"/>
    <n v="-2.0396290639489112"/>
  </r>
  <r>
    <s v="Sistema de Compensação"/>
    <x v="1"/>
    <x v="2"/>
    <x v="3"/>
    <x v="2"/>
    <x v="1"/>
    <x v="0"/>
    <x v="1"/>
    <x v="2"/>
    <n v="0"/>
    <n v="0"/>
    <n v="1.282"/>
    <n v="1.282"/>
    <n v="1.282"/>
    <n v="1.282"/>
    <n v="16"/>
    <x v="1"/>
    <n v="0"/>
    <n v="0"/>
    <n v="6"/>
    <n v="32"/>
    <n v="0"/>
    <n v="367.75"/>
    <n v="267.91000000000003"/>
    <m/>
    <n v="457.81459354608398"/>
    <n v="185.42082399535556"/>
    <n v="0"/>
    <n v="471.45550000000003"/>
    <n v="343.46062000000006"/>
    <n v="0"/>
    <n v="586.9183089260797"/>
    <n v="237.70949636204583"/>
  </r>
  <r>
    <s v="Regular"/>
    <x v="1"/>
    <x v="2"/>
    <x v="3"/>
    <x v="2"/>
    <x v="1"/>
    <x v="0"/>
    <x v="1"/>
    <x v="3"/>
    <n v="0"/>
    <n v="0"/>
    <n v="569.40099999999995"/>
    <n v="569.40099999999995"/>
    <n v="569.40099999999995"/>
    <n v="569.40099999999995"/>
    <n v="3521"/>
    <x v="1"/>
    <n v="0"/>
    <n v="0"/>
    <n v="6"/>
    <n v="32"/>
    <n v="0"/>
    <n v="367.75"/>
    <n v="267.91000000000003"/>
    <m/>
    <n v="457.81459354608398"/>
    <n v="185.42082399535556"/>
    <n v="0"/>
    <n v="209397.21774999998"/>
    <n v="152548.22190999999"/>
    <n v="0"/>
    <n v="260680.08737973374"/>
    <n v="105578.80260377945"/>
  </r>
  <r>
    <s v="Sistema de Compensação"/>
    <x v="1"/>
    <x v="2"/>
    <x v="3"/>
    <x v="2"/>
    <x v="1"/>
    <x v="0"/>
    <x v="1"/>
    <x v="3"/>
    <n v="0"/>
    <n v="0"/>
    <n v="1.825"/>
    <n v="1.825"/>
    <n v="1.825"/>
    <n v="1.825"/>
    <n v="18"/>
    <x v="1"/>
    <n v="0"/>
    <n v="0"/>
    <n v="6"/>
    <n v="32"/>
    <n v="0"/>
    <n v="367.75"/>
    <n v="267.91000000000003"/>
    <m/>
    <n v="457.81459354608398"/>
    <n v="185.42082399535556"/>
    <n v="0"/>
    <n v="671.14374999999995"/>
    <n v="488.93575000000004"/>
    <n v="0"/>
    <n v="835.51163322160323"/>
    <n v="338.39300379152388"/>
  </r>
  <r>
    <s v="Regular"/>
    <x v="1"/>
    <x v="2"/>
    <x v="3"/>
    <x v="2"/>
    <x v="1"/>
    <x v="0"/>
    <x v="1"/>
    <x v="4"/>
    <n v="0"/>
    <n v="0"/>
    <n v="591"/>
    <n v="591"/>
    <n v="591"/>
    <n v="591"/>
    <n v="3521"/>
    <x v="1"/>
    <n v="0"/>
    <n v="0"/>
    <n v="6"/>
    <n v="32"/>
    <n v="0"/>
    <n v="367.75"/>
    <n v="267.91000000000003"/>
    <m/>
    <n v="457.81459354608398"/>
    <n v="185.42082399535556"/>
    <n v="0"/>
    <n v="217340.25"/>
    <n v="158334.81000000003"/>
    <n v="0"/>
    <n v="270568.42478573561"/>
    <n v="109583.70698125513"/>
  </r>
  <r>
    <s v="Refaturamento - Regular"/>
    <x v="1"/>
    <x v="2"/>
    <x v="3"/>
    <x v="2"/>
    <x v="1"/>
    <x v="0"/>
    <x v="1"/>
    <x v="4"/>
    <n v="0"/>
    <n v="0"/>
    <n v="-0.82"/>
    <n v="-0.82"/>
    <n v="-0.82"/>
    <n v="-0.82"/>
    <n v="0"/>
    <x v="1"/>
    <n v="0"/>
    <n v="0"/>
    <n v="6"/>
    <n v="32"/>
    <n v="0"/>
    <n v="367.75"/>
    <n v="267.91000000000003"/>
    <m/>
    <n v="457.81459354608398"/>
    <n v="185.42082399535556"/>
    <n v="0"/>
    <n v="-301.55500000000001"/>
    <n v="-219.68620000000001"/>
    <n v="0"/>
    <n v="-375.40796670778883"/>
    <n v="-152.04507567619154"/>
  </r>
  <r>
    <s v="Sistema de Compensação"/>
    <x v="1"/>
    <x v="2"/>
    <x v="3"/>
    <x v="2"/>
    <x v="1"/>
    <x v="0"/>
    <x v="1"/>
    <x v="4"/>
    <n v="0"/>
    <n v="0"/>
    <n v="2.2000000000000002"/>
    <n v="2.2000000000000002"/>
    <n v="2.2000000000000002"/>
    <n v="2.2000000000000002"/>
    <n v="19"/>
    <x v="1"/>
    <n v="0"/>
    <n v="0"/>
    <n v="6"/>
    <n v="32"/>
    <n v="0"/>
    <n v="367.75"/>
    <n v="267.91000000000003"/>
    <m/>
    <n v="457.81459354608398"/>
    <n v="185.42082399535556"/>
    <n v="0"/>
    <n v="809.05000000000007"/>
    <n v="589.40200000000016"/>
    <n v="0"/>
    <n v="1007.1921058013849"/>
    <n v="407.92581278978224"/>
  </r>
  <r>
    <s v="Regular"/>
    <x v="1"/>
    <x v="2"/>
    <x v="3"/>
    <x v="2"/>
    <x v="1"/>
    <x v="0"/>
    <x v="1"/>
    <x v="5"/>
    <n v="0"/>
    <n v="0"/>
    <n v="587.12"/>
    <n v="587.12"/>
    <n v="587.12"/>
    <n v="587.12"/>
    <n v="3500"/>
    <x v="1"/>
    <n v="0"/>
    <n v="0"/>
    <n v="6"/>
    <n v="32"/>
    <n v="0"/>
    <n v="367.75"/>
    <n v="267.91000000000003"/>
    <m/>
    <n v="457.81459354608398"/>
    <n v="185.42082399535556"/>
    <n v="0"/>
    <n v="215913.38"/>
    <n v="157295.31920000003"/>
    <n v="0"/>
    <n v="268792.10416277684"/>
    <n v="108864.27418415315"/>
  </r>
  <r>
    <s v="Refaturamento - Regular"/>
    <x v="1"/>
    <x v="2"/>
    <x v="3"/>
    <x v="2"/>
    <x v="1"/>
    <x v="0"/>
    <x v="1"/>
    <x v="5"/>
    <n v="0"/>
    <n v="0"/>
    <n v="-9.5000000000000001E-2"/>
    <n v="-9.5000000000000001E-2"/>
    <n v="-9.5000000000000001E-2"/>
    <n v="-9.5000000000000001E-2"/>
    <n v="0"/>
    <x v="1"/>
    <n v="0"/>
    <n v="0"/>
    <n v="6"/>
    <n v="32"/>
    <n v="0"/>
    <n v="367.75"/>
    <n v="267.91000000000003"/>
    <m/>
    <n v="457.81459354608398"/>
    <n v="185.42082399535556"/>
    <n v="0"/>
    <n v="-34.936250000000001"/>
    <n v="-25.451450000000001"/>
    <n v="0"/>
    <n v="-43.492386386877982"/>
    <n v="-17.614978279558777"/>
  </r>
  <r>
    <s v="Sistema de Compensação"/>
    <x v="1"/>
    <x v="2"/>
    <x v="3"/>
    <x v="2"/>
    <x v="1"/>
    <x v="0"/>
    <x v="1"/>
    <x v="5"/>
    <n v="0"/>
    <n v="0"/>
    <n v="2.855"/>
    <n v="2.855"/>
    <n v="2.855"/>
    <n v="2.855"/>
    <n v="22"/>
    <x v="1"/>
    <n v="0"/>
    <n v="0"/>
    <n v="6"/>
    <n v="32"/>
    <n v="0"/>
    <n v="367.75"/>
    <n v="267.91000000000003"/>
    <m/>
    <n v="457.81459354608398"/>
    <n v="185.42082399535556"/>
    <n v="0"/>
    <n v="1049.92625"/>
    <n v="764.88305000000003"/>
    <n v="0"/>
    <n v="1307.0606645740697"/>
    <n v="529.37645250674018"/>
  </r>
  <r>
    <s v="Regular"/>
    <x v="1"/>
    <x v="2"/>
    <x v="3"/>
    <x v="2"/>
    <x v="1"/>
    <x v="0"/>
    <x v="1"/>
    <x v="6"/>
    <n v="0"/>
    <n v="0"/>
    <n v="587.88"/>
    <n v="587.88"/>
    <n v="587.88"/>
    <n v="587.88"/>
    <n v="3465"/>
    <x v="1"/>
    <n v="0"/>
    <n v="0"/>
    <n v="6"/>
    <n v="32"/>
    <n v="0"/>
    <n v="367.75"/>
    <n v="267.91000000000003"/>
    <m/>
    <n v="457.81459354608398"/>
    <n v="185.42082399535556"/>
    <n v="0"/>
    <n v="216192.87"/>
    <n v="157498.9308"/>
    <n v="0"/>
    <n v="269140.04325387185"/>
    <n v="109005.19401038963"/>
  </r>
  <r>
    <s v="Sistema de Compensação"/>
    <x v="1"/>
    <x v="2"/>
    <x v="3"/>
    <x v="2"/>
    <x v="1"/>
    <x v="0"/>
    <x v="1"/>
    <x v="6"/>
    <n v="0"/>
    <n v="0"/>
    <n v="3.3079999999999998"/>
    <n v="3.3079999999999998"/>
    <n v="3.3079999999999998"/>
    <n v="3.3079999999999998"/>
    <n v="25"/>
    <x v="1"/>
    <n v="0"/>
    <n v="0"/>
    <n v="6"/>
    <n v="32"/>
    <n v="0"/>
    <n v="367.75"/>
    <n v="267.91000000000003"/>
    <m/>
    <n v="457.81459354608398"/>
    <n v="185.42082399535556"/>
    <n v="0"/>
    <n v="1216.5169999999998"/>
    <n v="886.24628000000007"/>
    <n v="0"/>
    <n v="1514.4506754504457"/>
    <n v="613.37208577663614"/>
  </r>
  <r>
    <s v="Regular"/>
    <x v="1"/>
    <x v="2"/>
    <x v="3"/>
    <x v="2"/>
    <x v="1"/>
    <x v="0"/>
    <x v="1"/>
    <x v="7"/>
    <n v="0"/>
    <n v="0"/>
    <n v="572.44100000000003"/>
    <n v="572.44100000000003"/>
    <n v="572.44100000000003"/>
    <n v="572.44100000000003"/>
    <n v="3465"/>
    <x v="1"/>
    <n v="0"/>
    <n v="0"/>
    <n v="6"/>
    <n v="32"/>
    <n v="0"/>
    <n v="367.75"/>
    <n v="267.91000000000003"/>
    <m/>
    <n v="457.81459354608398"/>
    <n v="185.42082399535556"/>
    <n v="0"/>
    <n v="210515.17775"/>
    <n v="153362.66831000001"/>
    <n v="0"/>
    <n v="262071.84374411387"/>
    <n v="106142.48190872534"/>
  </r>
  <r>
    <s v="Refaturamento - Regular"/>
    <x v="1"/>
    <x v="2"/>
    <x v="3"/>
    <x v="2"/>
    <x v="1"/>
    <x v="0"/>
    <x v="1"/>
    <x v="7"/>
    <n v="0"/>
    <n v="0"/>
    <n v="-0.88200000000000001"/>
    <n v="-0.88200000000000001"/>
    <n v="-0.88200000000000001"/>
    <n v="-0.88200000000000001"/>
    <n v="0"/>
    <x v="1"/>
    <n v="0"/>
    <n v="0"/>
    <n v="6"/>
    <n v="32"/>
    <n v="0"/>
    <n v="367.75"/>
    <n v="267.91000000000003"/>
    <m/>
    <n v="457.81459354608398"/>
    <n v="185.42082399535556"/>
    <n v="0"/>
    <n v="-324.35550000000001"/>
    <n v="-236.29662000000002"/>
    <n v="0"/>
    <n v="-403.7924715076461"/>
    <n v="-163.54116676390362"/>
  </r>
  <r>
    <s v="Sistema de Compensação"/>
    <x v="1"/>
    <x v="2"/>
    <x v="3"/>
    <x v="2"/>
    <x v="1"/>
    <x v="0"/>
    <x v="1"/>
    <x v="7"/>
    <n v="0"/>
    <n v="0"/>
    <n v="2.968"/>
    <n v="2.968"/>
    <n v="2.968"/>
    <n v="2.968"/>
    <n v="26"/>
    <x v="1"/>
    <n v="0"/>
    <n v="0"/>
    <n v="6"/>
    <n v="32"/>
    <n v="0"/>
    <n v="367.75"/>
    <n v="267.91000000000003"/>
    <m/>
    <n v="457.81459354608398"/>
    <n v="185.42082399535556"/>
    <n v="0"/>
    <n v="1091.482"/>
    <n v="795.15688000000011"/>
    <n v="0"/>
    <n v="1358.7937136447772"/>
    <n v="550.32900561821532"/>
  </r>
  <r>
    <s v="Regular"/>
    <x v="1"/>
    <x v="2"/>
    <x v="3"/>
    <x v="2"/>
    <x v="1"/>
    <x v="0"/>
    <x v="1"/>
    <x v="8"/>
    <n v="0"/>
    <n v="0"/>
    <n v="550.36400000000003"/>
    <n v="550.36400000000003"/>
    <n v="550.36400000000003"/>
    <n v="550.36400000000003"/>
    <n v="3461"/>
    <x v="1"/>
    <n v="0"/>
    <n v="0"/>
    <n v="6"/>
    <n v="32"/>
    <n v="0"/>
    <n v="367.75"/>
    <n v="267.91000000000003"/>
    <m/>
    <n v="457.81459354608398"/>
    <n v="185.42082399535556"/>
    <n v="0"/>
    <n v="202396.361"/>
    <n v="147448.01924000002"/>
    <n v="0"/>
    <n v="251964.67096239698"/>
    <n v="102048.94637737988"/>
  </r>
  <r>
    <s v="Refaturamento - Regular"/>
    <x v="1"/>
    <x v="2"/>
    <x v="3"/>
    <x v="2"/>
    <x v="1"/>
    <x v="0"/>
    <x v="1"/>
    <x v="8"/>
    <n v="0"/>
    <n v="0"/>
    <n v="-0.254"/>
    <n v="-0.254"/>
    <n v="-0.254"/>
    <n v="-0.254"/>
    <n v="0"/>
    <x v="1"/>
    <n v="0"/>
    <n v="0"/>
    <n v="6"/>
    <n v="32"/>
    <n v="0"/>
    <n v="367.75"/>
    <n v="267.91000000000003"/>
    <m/>
    <n v="457.81459354608398"/>
    <n v="185.42082399535556"/>
    <n v="0"/>
    <n v="-93.408500000000004"/>
    <n v="-68.049140000000008"/>
    <n v="0"/>
    <n v="-116.28490676070534"/>
    <n v="-47.096889294820315"/>
  </r>
  <r>
    <s v="Sistema de Compensação"/>
    <x v="1"/>
    <x v="2"/>
    <x v="3"/>
    <x v="2"/>
    <x v="1"/>
    <x v="0"/>
    <x v="1"/>
    <x v="8"/>
    <n v="0"/>
    <n v="0"/>
    <n v="2.6480000000000001"/>
    <n v="2.6480000000000001"/>
    <n v="2.6480000000000001"/>
    <n v="2.6480000000000001"/>
    <n v="28"/>
    <x v="1"/>
    <n v="0"/>
    <n v="0"/>
    <n v="6"/>
    <n v="32"/>
    <n v="0"/>
    <n v="367.75"/>
    <n v="267.91000000000003"/>
    <m/>
    <n v="457.81459354608398"/>
    <n v="185.42082399535556"/>
    <n v="0"/>
    <n v="973.80200000000002"/>
    <n v="709.42568000000006"/>
    <n v="0"/>
    <n v="1212.2930437100304"/>
    <n v="490.99434193970154"/>
  </r>
  <r>
    <s v="Regular"/>
    <x v="1"/>
    <x v="2"/>
    <x v="3"/>
    <x v="2"/>
    <x v="1"/>
    <x v="0"/>
    <x v="1"/>
    <x v="9"/>
    <n v="0"/>
    <n v="0"/>
    <n v="521.66600000000005"/>
    <n v="521.66600000000005"/>
    <n v="521.66600000000005"/>
    <n v="521.66600000000005"/>
    <n v="3478"/>
    <x v="1"/>
    <n v="0"/>
    <n v="0"/>
    <n v="6"/>
    <n v="32"/>
    <n v="0"/>
    <n v="367.75"/>
    <n v="267.91000000000003"/>
    <m/>
    <n v="457.81459354608398"/>
    <n v="185.42082399535556"/>
    <n v="0"/>
    <n v="191842.67150000003"/>
    <n v="139759.53806000002"/>
    <n v="0"/>
    <n v="238826.30775681147"/>
    <n v="96727.739570361169"/>
  </r>
  <r>
    <s v="Sistema de Compensação"/>
    <x v="1"/>
    <x v="2"/>
    <x v="3"/>
    <x v="2"/>
    <x v="1"/>
    <x v="0"/>
    <x v="1"/>
    <x v="9"/>
    <n v="0"/>
    <n v="0"/>
    <n v="3.5760000000000001"/>
    <n v="3.5760000000000001"/>
    <n v="3.5760000000000001"/>
    <n v="3.5760000000000001"/>
    <n v="32"/>
    <x v="1"/>
    <n v="0"/>
    <n v="0"/>
    <n v="6"/>
    <n v="32"/>
    <n v="0"/>
    <n v="367.75"/>
    <n v="267.91000000000003"/>
    <m/>
    <n v="457.81459354608398"/>
    <n v="185.42082399535556"/>
    <n v="0"/>
    <n v="1315.0740000000001"/>
    <n v="958.0461600000001"/>
    <n v="0"/>
    <n v="1637.1449865207965"/>
    <n v="663.06486660739154"/>
  </r>
  <r>
    <s v="Regular"/>
    <x v="1"/>
    <x v="2"/>
    <x v="3"/>
    <x v="2"/>
    <x v="1"/>
    <x v="0"/>
    <x v="1"/>
    <x v="10"/>
    <n v="0"/>
    <n v="0"/>
    <n v="561.25199999999995"/>
    <n v="561.25199999999995"/>
    <n v="561.25199999999995"/>
    <n v="561.25199999999995"/>
    <n v="3542"/>
    <x v="1"/>
    <n v="0"/>
    <n v="0"/>
    <n v="6"/>
    <n v="32"/>
    <n v="0"/>
    <n v="367.75"/>
    <n v="267.91000000000003"/>
    <m/>
    <n v="457.81459354608398"/>
    <n v="185.42082399535556"/>
    <n v="0"/>
    <n v="206400.42299999998"/>
    <n v="150365.02332000001"/>
    <n v="0"/>
    <n v="256949.35625692669"/>
    <n v="104067.80830904128"/>
  </r>
  <r>
    <s v="Sistema de Compensação"/>
    <x v="1"/>
    <x v="2"/>
    <x v="3"/>
    <x v="2"/>
    <x v="1"/>
    <x v="0"/>
    <x v="1"/>
    <x v="10"/>
    <n v="0"/>
    <n v="0"/>
    <n v="4.1139999999999999"/>
    <n v="4.1139999999999999"/>
    <n v="4.1139999999999999"/>
    <n v="4.1139999999999999"/>
    <n v="37"/>
    <x v="1"/>
    <n v="0"/>
    <n v="0"/>
    <n v="6"/>
    <n v="32"/>
    <n v="0"/>
    <n v="367.75"/>
    <n v="267.91000000000003"/>
    <m/>
    <n v="457.81459354608398"/>
    <n v="185.42082399535556"/>
    <n v="0"/>
    <n v="1512.9234999999999"/>
    <n v="1102.18174"/>
    <n v="0"/>
    <n v="1883.4492378485895"/>
    <n v="762.82126991689279"/>
  </r>
  <r>
    <s v="Regular"/>
    <x v="1"/>
    <x v="2"/>
    <x v="3"/>
    <x v="2"/>
    <x v="1"/>
    <x v="0"/>
    <x v="1"/>
    <x v="11"/>
    <n v="0"/>
    <n v="0"/>
    <n v="585.34900000000005"/>
    <n v="585.34900000000005"/>
    <n v="585.34900000000005"/>
    <n v="585.34900000000005"/>
    <n v="3555"/>
    <x v="1"/>
    <n v="0"/>
    <n v="0"/>
    <n v="6"/>
    <n v="32"/>
    <n v="0"/>
    <n v="367.75"/>
    <n v="267.91000000000003"/>
    <m/>
    <n v="457.81459354608398"/>
    <n v="185.42082399535556"/>
    <n v="0"/>
    <n v="215262.09475000002"/>
    <n v="156820.85059000002"/>
    <n v="0"/>
    <n v="267981.31451760675"/>
    <n v="108535.8939048574"/>
  </r>
  <r>
    <s v="Refaturamento - Regular"/>
    <x v="1"/>
    <x v="2"/>
    <x v="3"/>
    <x v="2"/>
    <x v="1"/>
    <x v="0"/>
    <x v="1"/>
    <x v="11"/>
    <n v="0"/>
    <n v="0"/>
    <n v="-0.248"/>
    <n v="-0.248"/>
    <n v="-0.248"/>
    <n v="-0.248"/>
    <n v="0"/>
    <x v="1"/>
    <n v="0"/>
    <n v="0"/>
    <n v="6"/>
    <n v="32"/>
    <n v="0"/>
    <n v="367.75"/>
    <n v="267.91000000000003"/>
    <m/>
    <n v="457.81459354608398"/>
    <n v="185.42082399535556"/>
    <n v="0"/>
    <n v="-91.201999999999998"/>
    <n v="-66.441680000000005"/>
    <n v="0"/>
    <n v="-113.53801919942883"/>
    <n v="-45.984364350848182"/>
  </r>
  <r>
    <s v="Sistema de Compensação"/>
    <x v="1"/>
    <x v="2"/>
    <x v="3"/>
    <x v="2"/>
    <x v="1"/>
    <x v="0"/>
    <x v="1"/>
    <x v="11"/>
    <n v="0"/>
    <n v="0"/>
    <n v="3.4729999999999999"/>
    <n v="3.4729999999999999"/>
    <n v="3.4729999999999999"/>
    <n v="3.4729999999999999"/>
    <n v="38"/>
    <x v="1"/>
    <n v="0"/>
    <n v="0"/>
    <n v="6"/>
    <n v="32"/>
    <n v="0"/>
    <n v="367.75"/>
    <n v="267.91000000000003"/>
    <m/>
    <n v="457.81459354608398"/>
    <n v="185.42082399535556"/>
    <n v="0"/>
    <n v="1277.1957499999999"/>
    <n v="930.45143000000007"/>
    <n v="0"/>
    <n v="1589.9900833855497"/>
    <n v="643.96652173586983"/>
  </r>
  <r>
    <s v="Regular"/>
    <x v="1"/>
    <x v="2"/>
    <x v="3"/>
    <x v="3"/>
    <x v="1"/>
    <x v="0"/>
    <x v="1"/>
    <x v="0"/>
    <n v="0"/>
    <n v="0"/>
    <n v="4.38"/>
    <n v="4.38"/>
    <n v="4.38"/>
    <n v="4.38"/>
    <n v="2"/>
    <x v="1"/>
    <n v="0"/>
    <n v="0"/>
    <n v="5"/>
    <n v="31"/>
    <n v="0"/>
    <n v="109.18"/>
    <n v="93.77"/>
    <m/>
    <n v="121.5518034861078"/>
    <n v="64.897288398374442"/>
    <n v="0"/>
    <n v="478.20840000000004"/>
    <n v="410.71259999999995"/>
    <n v="0"/>
    <n v="532.39689926915219"/>
    <n v="284.25012318488007"/>
  </r>
  <r>
    <s v="Regular"/>
    <x v="1"/>
    <x v="2"/>
    <x v="3"/>
    <x v="3"/>
    <x v="1"/>
    <x v="0"/>
    <x v="1"/>
    <x v="1"/>
    <n v="0"/>
    <n v="0"/>
    <n v="4.47"/>
    <n v="4.47"/>
    <n v="4.47"/>
    <n v="4.47"/>
    <n v="2"/>
    <x v="1"/>
    <n v="0"/>
    <n v="0"/>
    <n v="5"/>
    <n v="31"/>
    <n v="0"/>
    <n v="109.18"/>
    <n v="93.77"/>
    <m/>
    <n v="121.5518034861078"/>
    <n v="64.897288398374442"/>
    <n v="0"/>
    <n v="488.03460000000001"/>
    <n v="419.15189999999996"/>
    <n v="0"/>
    <n v="543.33656158290182"/>
    <n v="290.09087914073376"/>
  </r>
  <r>
    <s v="Regular"/>
    <x v="1"/>
    <x v="2"/>
    <x v="3"/>
    <x v="3"/>
    <x v="1"/>
    <x v="0"/>
    <x v="1"/>
    <x v="2"/>
    <n v="0"/>
    <n v="0"/>
    <n v="4.5599999999999996"/>
    <n v="4.5599999999999996"/>
    <n v="4.5599999999999996"/>
    <n v="4.5599999999999996"/>
    <n v="1"/>
    <x v="1"/>
    <n v="0"/>
    <n v="0"/>
    <n v="5"/>
    <n v="31"/>
    <n v="0"/>
    <n v="109.18"/>
    <n v="93.77"/>
    <m/>
    <n v="121.5518034861078"/>
    <n v="64.897288398374442"/>
    <n v="0"/>
    <n v="497.86079999999998"/>
    <n v="427.59119999999996"/>
    <n v="0"/>
    <n v="554.27622389665157"/>
    <n v="295.93163509658746"/>
  </r>
  <r>
    <s v="Regular"/>
    <x v="1"/>
    <x v="2"/>
    <x v="3"/>
    <x v="3"/>
    <x v="1"/>
    <x v="0"/>
    <x v="1"/>
    <x v="3"/>
    <n v="0"/>
    <n v="0"/>
    <n v="5.01"/>
    <n v="5.01"/>
    <n v="5.01"/>
    <n v="5.01"/>
    <n v="2"/>
    <x v="1"/>
    <n v="0"/>
    <n v="0"/>
    <n v="5"/>
    <n v="31"/>
    <n v="0"/>
    <n v="109.18"/>
    <n v="93.77"/>
    <m/>
    <n v="121.5518034861078"/>
    <n v="64.897288398374442"/>
    <n v="0"/>
    <n v="546.99180000000001"/>
    <n v="469.78769999999997"/>
    <n v="0"/>
    <n v="608.97453546540009"/>
    <n v="325.13541487585593"/>
  </r>
  <r>
    <s v="Regular"/>
    <x v="1"/>
    <x v="2"/>
    <x v="3"/>
    <x v="3"/>
    <x v="1"/>
    <x v="0"/>
    <x v="1"/>
    <x v="4"/>
    <n v="0"/>
    <n v="0"/>
    <n v="4.92"/>
    <n v="4.92"/>
    <n v="4.92"/>
    <n v="4.92"/>
    <n v="0"/>
    <x v="1"/>
    <n v="0"/>
    <n v="0"/>
    <n v="5"/>
    <n v="31"/>
    <n v="0"/>
    <n v="109.18"/>
    <n v="93.77"/>
    <m/>
    <n v="121.5518034861078"/>
    <n v="64.897288398374442"/>
    <n v="0"/>
    <n v="537.16560000000004"/>
    <n v="461.34839999999997"/>
    <n v="0"/>
    <n v="598.03487315165034"/>
    <n v="319.29465892000223"/>
  </r>
  <r>
    <s v="Refaturamento - Regular"/>
    <x v="1"/>
    <x v="2"/>
    <x v="3"/>
    <x v="3"/>
    <x v="1"/>
    <x v="0"/>
    <x v="1"/>
    <x v="4"/>
    <n v="0"/>
    <n v="0"/>
    <n v="-0.03"/>
    <n v="-0.03"/>
    <n v="-0.03"/>
    <n v="-0.03"/>
    <n v="0"/>
    <x v="1"/>
    <n v="0"/>
    <n v="0"/>
    <n v="5"/>
    <n v="31"/>
    <n v="0"/>
    <n v="109.18"/>
    <n v="93.77"/>
    <m/>
    <n v="121.5518034861078"/>
    <n v="64.897288398374442"/>
    <n v="0"/>
    <n v="-3.2753999999999999"/>
    <n v="-2.8130999999999999"/>
    <n v="0"/>
    <n v="-3.6465541045832337"/>
    <n v="-1.9469186519512331"/>
  </r>
  <r>
    <s v="Regular"/>
    <x v="1"/>
    <x v="2"/>
    <x v="3"/>
    <x v="3"/>
    <x v="1"/>
    <x v="0"/>
    <x v="1"/>
    <x v="5"/>
    <n v="0"/>
    <n v="0"/>
    <n v="5.58"/>
    <n v="5.58"/>
    <n v="5.58"/>
    <n v="5.58"/>
    <n v="0"/>
    <x v="1"/>
    <n v="0"/>
    <n v="0"/>
    <n v="5"/>
    <n v="31"/>
    <n v="0"/>
    <n v="109.18"/>
    <n v="93.77"/>
    <m/>
    <n v="121.5518034861078"/>
    <n v="64.897288398374442"/>
    <n v="0"/>
    <n v="609.22440000000006"/>
    <n v="523.23659999999995"/>
    <n v="0"/>
    <n v="678.25906345248154"/>
    <n v="362.1268692629294"/>
  </r>
  <r>
    <s v="Regular"/>
    <x v="1"/>
    <x v="2"/>
    <x v="3"/>
    <x v="3"/>
    <x v="1"/>
    <x v="0"/>
    <x v="1"/>
    <x v="6"/>
    <n v="0"/>
    <n v="0"/>
    <n v="6.78"/>
    <n v="6.78"/>
    <n v="6.78"/>
    <n v="6.78"/>
    <n v="3"/>
    <x v="1"/>
    <n v="0"/>
    <n v="0"/>
    <n v="5"/>
    <n v="31"/>
    <n v="0"/>
    <n v="109.18"/>
    <n v="93.77"/>
    <m/>
    <n v="121.5518034861078"/>
    <n v="64.897288398374442"/>
    <n v="0"/>
    <n v="740.24040000000002"/>
    <n v="635.76059999999995"/>
    <n v="0"/>
    <n v="824.1212276358109"/>
    <n v="440.00361534097874"/>
  </r>
  <r>
    <s v="Regular"/>
    <x v="1"/>
    <x v="2"/>
    <x v="3"/>
    <x v="3"/>
    <x v="1"/>
    <x v="0"/>
    <x v="1"/>
    <x v="7"/>
    <n v="0"/>
    <n v="0"/>
    <n v="6.99"/>
    <n v="6.99"/>
    <n v="6.99"/>
    <n v="6.99"/>
    <n v="3"/>
    <x v="1"/>
    <n v="0"/>
    <n v="0"/>
    <n v="5"/>
    <n v="31"/>
    <n v="0"/>
    <n v="109.18"/>
    <n v="93.77"/>
    <m/>
    <n v="121.5518034861078"/>
    <n v="64.897288398374442"/>
    <n v="0"/>
    <n v="763.16820000000007"/>
    <n v="655.45230000000004"/>
    <n v="0"/>
    <n v="849.64710636789357"/>
    <n v="453.63204590463738"/>
  </r>
  <r>
    <s v="Regular"/>
    <x v="1"/>
    <x v="2"/>
    <x v="3"/>
    <x v="3"/>
    <x v="1"/>
    <x v="0"/>
    <x v="1"/>
    <x v="8"/>
    <n v="0"/>
    <n v="0"/>
    <n v="7.17"/>
    <n v="7.17"/>
    <n v="7.17"/>
    <n v="7.17"/>
    <n v="6"/>
    <x v="1"/>
    <n v="0"/>
    <n v="0"/>
    <n v="5"/>
    <n v="31"/>
    <n v="0"/>
    <n v="109.18"/>
    <n v="93.77"/>
    <m/>
    <n v="121.5518034861078"/>
    <n v="64.897288398374442"/>
    <n v="0"/>
    <n v="782.82060000000001"/>
    <n v="672.33089999999993"/>
    <n v="0"/>
    <n v="871.52643099539296"/>
    <n v="465.31355781634477"/>
  </r>
  <r>
    <s v="Regular"/>
    <x v="1"/>
    <x v="2"/>
    <x v="3"/>
    <x v="3"/>
    <x v="1"/>
    <x v="0"/>
    <x v="1"/>
    <x v="9"/>
    <n v="0"/>
    <n v="0"/>
    <n v="6.6"/>
    <n v="6.6"/>
    <n v="6.6"/>
    <n v="6.6"/>
    <n v="2"/>
    <x v="1"/>
    <n v="0"/>
    <n v="0"/>
    <n v="5"/>
    <n v="31"/>
    <n v="0"/>
    <n v="109.18"/>
    <n v="93.77"/>
    <m/>
    <n v="121.5518034861078"/>
    <n v="64.897288398374442"/>
    <n v="0"/>
    <n v="720.58799999999997"/>
    <n v="618.88199999999995"/>
    <n v="0"/>
    <n v="802.2419030083114"/>
    <n v="428.32210342927129"/>
  </r>
  <r>
    <s v="Regular"/>
    <x v="1"/>
    <x v="2"/>
    <x v="3"/>
    <x v="3"/>
    <x v="1"/>
    <x v="0"/>
    <x v="1"/>
    <x v="10"/>
    <n v="0"/>
    <n v="0"/>
    <n v="6.66"/>
    <n v="6.66"/>
    <n v="6.66"/>
    <n v="6.66"/>
    <n v="7"/>
    <x v="1"/>
    <n v="0"/>
    <n v="0"/>
    <n v="5"/>
    <n v="31"/>
    <n v="0"/>
    <n v="109.18"/>
    <n v="93.77"/>
    <m/>
    <n v="121.5518034861078"/>
    <n v="64.897288398374442"/>
    <n v="0"/>
    <n v="727.13880000000006"/>
    <n v="624.50819999999999"/>
    <n v="0"/>
    <n v="809.53501121747797"/>
    <n v="432.2159407331738"/>
  </r>
  <r>
    <s v="Regular"/>
    <x v="1"/>
    <x v="2"/>
    <x v="3"/>
    <x v="3"/>
    <x v="1"/>
    <x v="0"/>
    <x v="1"/>
    <x v="11"/>
    <n v="0"/>
    <n v="0"/>
    <n v="6.48"/>
    <n v="6.48"/>
    <n v="6.48"/>
    <n v="6.48"/>
    <n v="5"/>
    <x v="1"/>
    <n v="0"/>
    <n v="0"/>
    <n v="5"/>
    <n v="31"/>
    <n v="0"/>
    <n v="109.18"/>
    <n v="93.77"/>
    <m/>
    <n v="121.5518034861078"/>
    <n v="64.897288398374442"/>
    <n v="0"/>
    <n v="707.48640000000012"/>
    <n v="607.62959999999998"/>
    <n v="0"/>
    <n v="787.65568658997859"/>
    <n v="420.53442882146641"/>
  </r>
  <r>
    <s v="Regular"/>
    <x v="1"/>
    <x v="2"/>
    <x v="3"/>
    <x v="4"/>
    <x v="1"/>
    <x v="0"/>
    <x v="1"/>
    <x v="0"/>
    <n v="0"/>
    <n v="0"/>
    <n v="9.3810000000000002"/>
    <n v="9.3810000000000002"/>
    <n v="9.3810000000000002"/>
    <n v="9.3810000000000002"/>
    <n v="26"/>
    <x v="1"/>
    <n v="0"/>
    <n v="0"/>
    <n v="9"/>
    <n v="37"/>
    <n v="0"/>
    <n v="187.16"/>
    <n v="160.75"/>
    <m/>
    <n v="208.37452026189911"/>
    <n v="111.25249439721334"/>
    <n v="0"/>
    <n v="1755.7479599999999"/>
    <n v="1507.99575"/>
    <n v="0"/>
    <n v="1954.7613745768756"/>
    <n v="1043.6596499402583"/>
  </r>
  <r>
    <s v="Regular"/>
    <x v="1"/>
    <x v="2"/>
    <x v="3"/>
    <x v="4"/>
    <x v="1"/>
    <x v="0"/>
    <x v="1"/>
    <x v="1"/>
    <n v="0"/>
    <n v="0"/>
    <n v="9.577"/>
    <n v="9.577"/>
    <n v="9.577"/>
    <n v="9.577"/>
    <n v="24"/>
    <x v="1"/>
    <n v="0"/>
    <n v="0"/>
    <n v="9"/>
    <n v="37"/>
    <n v="0"/>
    <n v="187.16"/>
    <n v="160.75"/>
    <m/>
    <n v="208.37452026189911"/>
    <n v="111.25249439721334"/>
    <n v="0"/>
    <n v="1792.4313199999999"/>
    <n v="1539.5027500000001"/>
    <n v="0"/>
    <n v="1995.6027805482076"/>
    <n v="1065.4651388421121"/>
  </r>
  <r>
    <s v="Regular"/>
    <x v="1"/>
    <x v="2"/>
    <x v="3"/>
    <x v="4"/>
    <x v="1"/>
    <x v="0"/>
    <x v="1"/>
    <x v="2"/>
    <n v="0"/>
    <n v="0"/>
    <n v="9.8580000000000005"/>
    <n v="9.8580000000000005"/>
    <n v="9.8580000000000005"/>
    <n v="9.8580000000000005"/>
    <n v="32"/>
    <x v="1"/>
    <n v="0"/>
    <n v="0"/>
    <n v="9"/>
    <n v="37"/>
    <n v="0"/>
    <n v="187.16"/>
    <n v="160.75"/>
    <m/>
    <n v="208.37452026189911"/>
    <n v="111.25249439721334"/>
    <n v="0"/>
    <n v="1845.0232800000001"/>
    <n v="1584.6735000000001"/>
    <n v="0"/>
    <n v="2054.1560207418015"/>
    <n v="1096.7270897677292"/>
  </r>
  <r>
    <s v="Regular"/>
    <x v="1"/>
    <x v="2"/>
    <x v="3"/>
    <x v="4"/>
    <x v="1"/>
    <x v="0"/>
    <x v="1"/>
    <x v="3"/>
    <n v="0"/>
    <n v="0"/>
    <n v="11.009"/>
    <n v="11.009"/>
    <n v="11.009"/>
    <n v="11.009"/>
    <n v="27"/>
    <x v="1"/>
    <n v="0"/>
    <n v="0"/>
    <n v="9"/>
    <n v="37"/>
    <n v="0"/>
    <n v="187.16"/>
    <n v="160.75"/>
    <m/>
    <n v="208.37452026189911"/>
    <n v="111.25249439721334"/>
    <n v="0"/>
    <n v="2060.4444400000002"/>
    <n v="1769.6967500000001"/>
    <n v="0"/>
    <n v="2293.9950935632473"/>
    <n v="1224.7787108189218"/>
  </r>
  <r>
    <s v="Regular"/>
    <x v="1"/>
    <x v="2"/>
    <x v="3"/>
    <x v="4"/>
    <x v="1"/>
    <x v="0"/>
    <x v="1"/>
    <x v="4"/>
    <n v="0"/>
    <n v="0"/>
    <n v="10.821"/>
    <n v="10.821"/>
    <n v="10.821"/>
    <n v="10.821"/>
    <n v="31"/>
    <x v="1"/>
    <n v="0"/>
    <n v="0"/>
    <n v="9"/>
    <n v="37"/>
    <n v="0"/>
    <n v="187.16"/>
    <n v="160.75"/>
    <m/>
    <n v="208.37452026189911"/>
    <n v="111.25249439721334"/>
    <n v="0"/>
    <n v="2025.2583599999998"/>
    <n v="1739.4757500000001"/>
    <n v="0"/>
    <n v="2254.8206837540101"/>
    <n v="1203.8632418722455"/>
  </r>
  <r>
    <s v="Refaturamento - Regular"/>
    <x v="1"/>
    <x v="2"/>
    <x v="3"/>
    <x v="4"/>
    <x v="1"/>
    <x v="0"/>
    <x v="1"/>
    <x v="4"/>
    <n v="0"/>
    <n v="0"/>
    <n v="-7.0000000000000007E-2"/>
    <n v="-7.0000000000000007E-2"/>
    <n v="-7.0000000000000007E-2"/>
    <n v="-7.0000000000000007E-2"/>
    <n v="0"/>
    <x v="1"/>
    <n v="0"/>
    <n v="0"/>
    <n v="9"/>
    <n v="37"/>
    <n v="0"/>
    <n v="187.16"/>
    <n v="160.75"/>
    <m/>
    <n v="208.37452026189911"/>
    <n v="111.25249439721334"/>
    <n v="0"/>
    <n v="-13.1012"/>
    <n v="-11.252500000000001"/>
    <n v="0"/>
    <n v="-14.586216418332938"/>
    <n v="-7.7876746078049344"/>
  </r>
  <r>
    <s v="Regular"/>
    <x v="1"/>
    <x v="2"/>
    <x v="3"/>
    <x v="4"/>
    <x v="1"/>
    <x v="0"/>
    <x v="1"/>
    <x v="5"/>
    <n v="0"/>
    <n v="0"/>
    <n v="12.329000000000001"/>
    <n v="12.329000000000001"/>
    <n v="12.329000000000001"/>
    <n v="12.329000000000001"/>
    <n v="30"/>
    <x v="1"/>
    <n v="0"/>
    <n v="0"/>
    <n v="9"/>
    <n v="37"/>
    <n v="0"/>
    <n v="187.16"/>
    <n v="160.75"/>
    <m/>
    <n v="208.37452026189911"/>
    <n v="111.25249439721334"/>
    <n v="0"/>
    <n v="2307.4956400000001"/>
    <n v="1981.8867500000001"/>
    <n v="0"/>
    <n v="2569.0494603089542"/>
    <n v="1371.6320034232433"/>
  </r>
  <r>
    <s v="Regular"/>
    <x v="1"/>
    <x v="2"/>
    <x v="3"/>
    <x v="4"/>
    <x v="1"/>
    <x v="0"/>
    <x v="1"/>
    <x v="6"/>
    <n v="0"/>
    <n v="0"/>
    <n v="14.779"/>
    <n v="14.779"/>
    <n v="14.779"/>
    <n v="14.779"/>
    <n v="35"/>
    <x v="1"/>
    <n v="0"/>
    <n v="0"/>
    <n v="9"/>
    <n v="37"/>
    <n v="0"/>
    <n v="187.16"/>
    <n v="160.75"/>
    <m/>
    <n v="208.37452026189911"/>
    <n v="111.25249439721334"/>
    <n v="0"/>
    <n v="2766.03764"/>
    <n v="2375.7242500000002"/>
    <n v="0"/>
    <n v="3079.5670349506067"/>
    <n v="1644.2006146964159"/>
  </r>
  <r>
    <s v="Regular"/>
    <x v="1"/>
    <x v="2"/>
    <x v="3"/>
    <x v="4"/>
    <x v="1"/>
    <x v="0"/>
    <x v="1"/>
    <x v="7"/>
    <n v="0"/>
    <n v="0"/>
    <n v="15.113"/>
    <n v="15.113"/>
    <n v="15.113"/>
    <n v="15.113"/>
    <n v="43"/>
    <x v="1"/>
    <n v="0"/>
    <n v="0"/>
    <n v="9"/>
    <n v="37"/>
    <n v="0"/>
    <n v="187.16"/>
    <n v="160.75"/>
    <m/>
    <n v="208.37452026189911"/>
    <n v="111.25249439721334"/>
    <n v="0"/>
    <n v="2828.5490799999998"/>
    <n v="2429.4147499999999"/>
    <n v="0"/>
    <n v="3149.164124718081"/>
    <n v="1681.3589478250851"/>
  </r>
  <r>
    <s v="Regular"/>
    <x v="1"/>
    <x v="2"/>
    <x v="3"/>
    <x v="4"/>
    <x v="1"/>
    <x v="0"/>
    <x v="1"/>
    <x v="8"/>
    <n v="0"/>
    <n v="0"/>
    <n v="15.212999999999999"/>
    <n v="15.212999999999999"/>
    <n v="15.212999999999999"/>
    <n v="15.212999999999999"/>
    <n v="43"/>
    <x v="1"/>
    <n v="0"/>
    <n v="0"/>
    <n v="9"/>
    <n v="37"/>
    <n v="0"/>
    <n v="187.16"/>
    <n v="160.75"/>
    <m/>
    <n v="208.37452026189911"/>
    <n v="111.25249439721334"/>
    <n v="0"/>
    <n v="2847.2650799999997"/>
    <n v="2445.4897499999997"/>
    <n v="0"/>
    <n v="3170.001576744271"/>
    <n v="1692.4841972648064"/>
  </r>
  <r>
    <s v="Regular"/>
    <x v="1"/>
    <x v="2"/>
    <x v="3"/>
    <x v="4"/>
    <x v="1"/>
    <x v="0"/>
    <x v="1"/>
    <x v="9"/>
    <n v="0"/>
    <n v="0"/>
    <n v="13.866"/>
    <n v="13.866"/>
    <n v="13.866"/>
    <n v="13.866"/>
    <n v="47"/>
    <x v="1"/>
    <n v="0"/>
    <n v="0"/>
    <n v="9"/>
    <n v="37"/>
    <n v="0"/>
    <n v="187.16"/>
    <n v="160.75"/>
    <m/>
    <n v="208.37452026189911"/>
    <n v="111.25249439721334"/>
    <n v="0"/>
    <n v="2595.1605599999998"/>
    <n v="2228.9594999999999"/>
    <n v="0"/>
    <n v="2889.3210979514929"/>
    <n v="1542.6270873117601"/>
  </r>
  <r>
    <s v="Regular"/>
    <x v="1"/>
    <x v="2"/>
    <x v="3"/>
    <x v="4"/>
    <x v="1"/>
    <x v="0"/>
    <x v="1"/>
    <x v="10"/>
    <n v="0"/>
    <n v="0"/>
    <n v="13.898999999999999"/>
    <n v="13.898999999999999"/>
    <n v="13.898999999999999"/>
    <n v="13.898999999999999"/>
    <n v="39"/>
    <x v="1"/>
    <n v="0"/>
    <n v="0"/>
    <n v="9"/>
    <n v="37"/>
    <n v="0"/>
    <n v="187.16"/>
    <n v="160.75"/>
    <m/>
    <n v="208.37452026189911"/>
    <n v="111.25249439721334"/>
    <n v="0"/>
    <n v="2601.3368399999999"/>
    <n v="2234.2642499999997"/>
    <n v="0"/>
    <n v="2896.1974571201354"/>
    <n v="1546.2984196268681"/>
  </r>
  <r>
    <s v="Regular"/>
    <x v="1"/>
    <x v="2"/>
    <x v="3"/>
    <x v="4"/>
    <x v="1"/>
    <x v="0"/>
    <x v="1"/>
    <x v="11"/>
    <n v="0"/>
    <n v="0"/>
    <n v="13.744999999999999"/>
    <n v="13.744999999999999"/>
    <n v="13.744999999999999"/>
    <n v="13.744999999999999"/>
    <n v="43"/>
    <x v="1"/>
    <n v="0"/>
    <n v="0"/>
    <n v="9"/>
    <n v="37"/>
    <n v="0"/>
    <n v="187.16"/>
    <n v="160.75"/>
    <m/>
    <n v="208.37452026189911"/>
    <n v="111.25249439721334"/>
    <n v="0"/>
    <n v="2572.5141999999996"/>
    <n v="2209.50875"/>
    <n v="0"/>
    <n v="2864.1077809998033"/>
    <n v="1529.1655354896973"/>
  </r>
  <r>
    <s v="Regular"/>
    <x v="1"/>
    <x v="2"/>
    <x v="3"/>
    <x v="5"/>
    <x v="1"/>
    <x v="0"/>
    <x v="1"/>
    <x v="0"/>
    <n v="0"/>
    <n v="0"/>
    <n v="8.6289999999999996"/>
    <n v="8.6289999999999996"/>
    <n v="8.6289999999999996"/>
    <n v="8.6289999999999996"/>
    <n v="87"/>
    <x v="1"/>
    <n v="0"/>
    <n v="0"/>
    <n v="42"/>
    <n v="48"/>
    <n v="0"/>
    <n v="280.74"/>
    <n v="241.12"/>
    <m/>
    <n v="312.56178039284868"/>
    <n v="166.87874159582"/>
    <n v="0"/>
    <n v="2422.5054599999999"/>
    <n v="2080.6244799999999"/>
    <n v="0"/>
    <n v="2697.095603009891"/>
    <n v="1439.9966612303308"/>
  </r>
  <r>
    <s v="Regular"/>
    <x v="1"/>
    <x v="2"/>
    <x v="3"/>
    <x v="5"/>
    <x v="1"/>
    <x v="0"/>
    <x v="1"/>
    <x v="1"/>
    <n v="0"/>
    <n v="0"/>
    <n v="9.2449999999999992"/>
    <n v="9.2449999999999992"/>
    <n v="9.2449999999999992"/>
    <n v="9.2449999999999992"/>
    <n v="82"/>
    <x v="1"/>
    <n v="0"/>
    <n v="0"/>
    <n v="42"/>
    <n v="48"/>
    <n v="0"/>
    <n v="280.74"/>
    <n v="241.12"/>
    <m/>
    <n v="312.56178039284868"/>
    <n v="166.87874159582"/>
    <n v="0"/>
    <n v="2595.4413"/>
    <n v="2229.1543999999999"/>
    <n v="0"/>
    <n v="2889.6336597318859"/>
    <n v="1542.7939660533557"/>
  </r>
  <r>
    <s v="Regular"/>
    <x v="1"/>
    <x v="2"/>
    <x v="3"/>
    <x v="5"/>
    <x v="1"/>
    <x v="0"/>
    <x v="1"/>
    <x v="2"/>
    <n v="0"/>
    <n v="0"/>
    <n v="8.7720000000000002"/>
    <n v="8.7720000000000002"/>
    <n v="8.7720000000000002"/>
    <n v="8.7720000000000002"/>
    <n v="85"/>
    <x v="1"/>
    <n v="0"/>
    <n v="0"/>
    <n v="42"/>
    <n v="48"/>
    <n v="0"/>
    <n v="280.74"/>
    <n v="241.12"/>
    <m/>
    <n v="312.56178039284868"/>
    <n v="166.87874159582"/>
    <n v="0"/>
    <n v="2462.65128"/>
    <n v="2115.10464"/>
    <n v="0"/>
    <n v="2741.7919376060686"/>
    <n v="1463.8603212785331"/>
  </r>
  <r>
    <s v="Regular"/>
    <x v="1"/>
    <x v="2"/>
    <x v="3"/>
    <x v="5"/>
    <x v="1"/>
    <x v="0"/>
    <x v="1"/>
    <x v="3"/>
    <n v="0"/>
    <n v="0"/>
    <n v="11.242000000000001"/>
    <n v="11.242000000000001"/>
    <n v="11.242000000000001"/>
    <n v="11.242000000000001"/>
    <n v="88"/>
    <x v="1"/>
    <n v="0"/>
    <n v="0"/>
    <n v="42"/>
    <n v="48"/>
    <n v="0"/>
    <n v="280.74"/>
    <n v="241.12"/>
    <m/>
    <n v="312.56178039284868"/>
    <n v="166.87874159582"/>
    <n v="0"/>
    <n v="3156.0790800000004"/>
    <n v="2710.6710400000002"/>
    <n v="0"/>
    <n v="3513.8195351764052"/>
    <n v="1876.0508130202086"/>
  </r>
  <r>
    <s v="Regular"/>
    <x v="1"/>
    <x v="2"/>
    <x v="3"/>
    <x v="5"/>
    <x v="1"/>
    <x v="0"/>
    <x v="1"/>
    <x v="4"/>
    <n v="0"/>
    <n v="0"/>
    <n v="10.589"/>
    <n v="10.589"/>
    <n v="10.589"/>
    <n v="10.589"/>
    <n v="88"/>
    <x v="1"/>
    <n v="0"/>
    <n v="0"/>
    <n v="42"/>
    <n v="48"/>
    <n v="0"/>
    <n v="280.74"/>
    <n v="241.12"/>
    <m/>
    <n v="312.56178039284868"/>
    <n v="166.87874159582"/>
    <n v="0"/>
    <n v="2972.7558600000002"/>
    <n v="2553.2196800000002"/>
    <n v="0"/>
    <n v="3309.7166925798747"/>
    <n v="1767.0789947581382"/>
  </r>
  <r>
    <s v="Refaturamento - Regular"/>
    <x v="1"/>
    <x v="2"/>
    <x v="3"/>
    <x v="5"/>
    <x v="1"/>
    <x v="0"/>
    <x v="1"/>
    <x v="4"/>
    <n v="0"/>
    <n v="0"/>
    <n v="-0.113"/>
    <n v="-0.113"/>
    <n v="-0.113"/>
    <n v="-0.113"/>
    <n v="0"/>
    <x v="1"/>
    <n v="0"/>
    <n v="0"/>
    <n v="42"/>
    <n v="48"/>
    <n v="0"/>
    <n v="280.74"/>
    <n v="241.12"/>
    <m/>
    <n v="312.56178039284868"/>
    <n v="166.87874159582"/>
    <n v="0"/>
    <n v="-31.72362"/>
    <n v="-27.246560000000002"/>
    <n v="0"/>
    <n v="-35.319481184391904"/>
    <n v="-18.857297800327661"/>
  </r>
  <r>
    <s v="Regular"/>
    <x v="1"/>
    <x v="2"/>
    <x v="3"/>
    <x v="5"/>
    <x v="1"/>
    <x v="0"/>
    <x v="1"/>
    <x v="5"/>
    <n v="0"/>
    <n v="0"/>
    <n v="11.867000000000001"/>
    <n v="11.867000000000001"/>
    <n v="11.867000000000001"/>
    <n v="11.867000000000001"/>
    <n v="112"/>
    <x v="1"/>
    <n v="0"/>
    <n v="0"/>
    <n v="42"/>
    <n v="48"/>
    <n v="0"/>
    <n v="280.74"/>
    <n v="241.12"/>
    <m/>
    <n v="312.56178039284868"/>
    <n v="166.87874159582"/>
    <n v="0"/>
    <n v="3331.5415800000005"/>
    <n v="2861.3710400000004"/>
    <n v="0"/>
    <n v="3709.1706479219356"/>
    <n v="1980.3500265175962"/>
  </r>
  <r>
    <s v="Regular"/>
    <x v="1"/>
    <x v="2"/>
    <x v="3"/>
    <x v="5"/>
    <x v="1"/>
    <x v="0"/>
    <x v="1"/>
    <x v="6"/>
    <n v="0"/>
    <n v="0"/>
    <n v="14.621"/>
    <n v="14.621"/>
    <n v="14.621"/>
    <n v="14.621"/>
    <n v="131"/>
    <x v="1"/>
    <n v="0"/>
    <n v="0"/>
    <n v="42"/>
    <n v="48"/>
    <n v="0"/>
    <n v="280.74"/>
    <n v="241.12"/>
    <m/>
    <n v="312.56178039284868"/>
    <n v="166.87874159582"/>
    <n v="0"/>
    <n v="4104.6995400000005"/>
    <n v="3525.41552"/>
    <n v="0"/>
    <n v="4569.965791123841"/>
    <n v="2439.9340808724842"/>
  </r>
  <r>
    <s v="Regular"/>
    <x v="1"/>
    <x v="2"/>
    <x v="3"/>
    <x v="5"/>
    <x v="1"/>
    <x v="0"/>
    <x v="1"/>
    <x v="7"/>
    <n v="0"/>
    <n v="0"/>
    <n v="13.91"/>
    <n v="13.91"/>
    <n v="13.91"/>
    <n v="13.91"/>
    <n v="139"/>
    <x v="1"/>
    <n v="0"/>
    <n v="0"/>
    <n v="42"/>
    <n v="48"/>
    <n v="0"/>
    <n v="280.74"/>
    <n v="241.12"/>
    <m/>
    <n v="312.56178039284868"/>
    <n v="166.87874159582"/>
    <n v="0"/>
    <n v="3905.0934000000002"/>
    <n v="3353.9792000000002"/>
    <n v="0"/>
    <n v="4347.734365264525"/>
    <n v="2321.2832955978561"/>
  </r>
  <r>
    <s v="Regular"/>
    <x v="1"/>
    <x v="2"/>
    <x v="3"/>
    <x v="5"/>
    <x v="1"/>
    <x v="0"/>
    <x v="1"/>
    <x v="8"/>
    <n v="0"/>
    <n v="0"/>
    <n v="13.505000000000001"/>
    <n v="13.505000000000001"/>
    <n v="13.505000000000001"/>
    <n v="13.505000000000001"/>
    <n v="152"/>
    <x v="1"/>
    <n v="0"/>
    <n v="0"/>
    <n v="42"/>
    <n v="48"/>
    <n v="0"/>
    <n v="280.74"/>
    <n v="241.12"/>
    <m/>
    <n v="312.56178039284868"/>
    <n v="166.87874159582"/>
    <n v="0"/>
    <n v="3791.3937000000005"/>
    <n v="3256.3256000000001"/>
    <n v="0"/>
    <n v="4221.146844205422"/>
    <n v="2253.6974052515493"/>
  </r>
  <r>
    <s v="Regular"/>
    <x v="1"/>
    <x v="2"/>
    <x v="3"/>
    <x v="5"/>
    <x v="1"/>
    <x v="0"/>
    <x v="1"/>
    <x v="9"/>
    <n v="0"/>
    <n v="0"/>
    <n v="10.781000000000001"/>
    <n v="10.781000000000001"/>
    <n v="10.781000000000001"/>
    <n v="10.781000000000001"/>
    <n v="144"/>
    <x v="1"/>
    <n v="0"/>
    <n v="0"/>
    <n v="42"/>
    <n v="48"/>
    <n v="0"/>
    <n v="280.74"/>
    <n v="241.12"/>
    <m/>
    <n v="312.56178039284868"/>
    <n v="166.87874159582"/>
    <n v="0"/>
    <n v="3026.6579400000001"/>
    <n v="2599.5147200000001"/>
    <n v="0"/>
    <n v="3369.7285544153019"/>
    <n v="1799.1197131445356"/>
  </r>
  <r>
    <s v="Regular"/>
    <x v="1"/>
    <x v="2"/>
    <x v="3"/>
    <x v="5"/>
    <x v="1"/>
    <x v="0"/>
    <x v="1"/>
    <x v="10"/>
    <n v="0"/>
    <n v="0"/>
    <n v="10.792"/>
    <n v="10.792"/>
    <n v="10.792"/>
    <n v="10.792"/>
    <n v="149"/>
    <x v="1"/>
    <n v="0"/>
    <n v="0"/>
    <n v="42"/>
    <n v="48"/>
    <n v="0"/>
    <n v="280.74"/>
    <n v="241.12"/>
    <m/>
    <n v="312.56178039284868"/>
    <n v="166.87874159582"/>
    <n v="0"/>
    <n v="3029.7460799999999"/>
    <n v="2602.1670399999998"/>
    <n v="0"/>
    <n v="3373.1667339996229"/>
    <n v="1800.9553793020893"/>
  </r>
  <r>
    <s v="Regular"/>
    <x v="1"/>
    <x v="2"/>
    <x v="3"/>
    <x v="5"/>
    <x v="1"/>
    <x v="0"/>
    <x v="1"/>
    <x v="11"/>
    <n v="0"/>
    <n v="0"/>
    <n v="10.227"/>
    <n v="10.227"/>
    <n v="10.227"/>
    <n v="10.227"/>
    <n v="140"/>
    <x v="1"/>
    <n v="0"/>
    <n v="0"/>
    <n v="42"/>
    <n v="48"/>
    <n v="0"/>
    <n v="280.74"/>
    <n v="241.12"/>
    <m/>
    <n v="312.56178039284868"/>
    <n v="166.87874159582"/>
    <n v="0"/>
    <n v="2871.1279800000002"/>
    <n v="2465.93424"/>
    <n v="0"/>
    <n v="3196.5693280776636"/>
    <n v="1706.6688903004513"/>
  </r>
  <r>
    <s v="Regular"/>
    <x v="1"/>
    <x v="2"/>
    <x v="3"/>
    <x v="6"/>
    <x v="1"/>
    <x v="0"/>
    <x v="1"/>
    <x v="0"/>
    <n v="0"/>
    <n v="0"/>
    <n v="2.3250000000000002"/>
    <n v="2.3250000000000002"/>
    <n v="2.3250000000000002"/>
    <n v="2.3250000000000002"/>
    <n v="31"/>
    <x v="1"/>
    <n v="0"/>
    <n v="0"/>
    <n v="23"/>
    <n v="43"/>
    <n v="0"/>
    <n v="311.93"/>
    <n v="267.91000000000003"/>
    <m/>
    <n v="347.29086710316517"/>
    <n v="185.42082399535556"/>
    <n v="0"/>
    <n v="725.23725000000002"/>
    <n v="622.89075000000014"/>
    <n v="0"/>
    <n v="807.45126601485913"/>
    <n v="431.10341578920173"/>
  </r>
  <r>
    <s v="Regular"/>
    <x v="1"/>
    <x v="2"/>
    <x v="3"/>
    <x v="6"/>
    <x v="1"/>
    <x v="0"/>
    <x v="1"/>
    <x v="1"/>
    <n v="0"/>
    <n v="0"/>
    <n v="3.0830000000000002"/>
    <n v="3.0830000000000002"/>
    <n v="3.0830000000000002"/>
    <n v="3.0830000000000002"/>
    <n v="41"/>
    <x v="1"/>
    <n v="0"/>
    <n v="0"/>
    <n v="23"/>
    <n v="43"/>
    <n v="0"/>
    <n v="311.93"/>
    <n v="267.91000000000003"/>
    <m/>
    <n v="347.29086710316517"/>
    <n v="185.42082399535556"/>
    <n v="0"/>
    <n v="961.68019000000004"/>
    <n v="825.96653000000015"/>
    <n v="0"/>
    <n v="1070.6977432790584"/>
    <n v="571.65240037768126"/>
  </r>
  <r>
    <s v="Regular"/>
    <x v="1"/>
    <x v="2"/>
    <x v="3"/>
    <x v="6"/>
    <x v="1"/>
    <x v="0"/>
    <x v="1"/>
    <x v="2"/>
    <n v="0"/>
    <n v="0"/>
    <n v="2.3530000000000002"/>
    <n v="2.3530000000000002"/>
    <n v="2.3530000000000002"/>
    <n v="2.3530000000000002"/>
    <n v="34"/>
    <x v="1"/>
    <n v="0"/>
    <n v="0"/>
    <n v="23"/>
    <n v="43"/>
    <n v="0"/>
    <n v="311.93"/>
    <n v="267.91000000000003"/>
    <m/>
    <n v="347.29086710316517"/>
    <n v="185.42082399535556"/>
    <n v="0"/>
    <n v="733.97129000000007"/>
    <n v="630.39223000000015"/>
    <n v="0"/>
    <n v="817.17541029374775"/>
    <n v="436.2951988610717"/>
  </r>
  <r>
    <s v="Regular"/>
    <x v="1"/>
    <x v="2"/>
    <x v="3"/>
    <x v="6"/>
    <x v="1"/>
    <x v="0"/>
    <x v="1"/>
    <x v="3"/>
    <n v="0"/>
    <n v="0"/>
    <n v="3.536"/>
    <n v="3.536"/>
    <n v="3.536"/>
    <n v="3.536"/>
    <n v="50"/>
    <x v="1"/>
    <n v="0"/>
    <n v="0"/>
    <n v="23"/>
    <n v="43"/>
    <n v="0"/>
    <n v="311.93"/>
    <n v="267.91000000000003"/>
    <m/>
    <n v="347.29086710316517"/>
    <n v="185.42082399535556"/>
    <n v="0"/>
    <n v="1102.9844800000001"/>
    <n v="947.32976000000008"/>
    <n v="0"/>
    <n v="1228.0205060767921"/>
    <n v="655.64803364757722"/>
  </r>
  <r>
    <s v="Regular"/>
    <x v="1"/>
    <x v="2"/>
    <x v="3"/>
    <x v="6"/>
    <x v="1"/>
    <x v="0"/>
    <x v="1"/>
    <x v="4"/>
    <n v="0"/>
    <n v="0"/>
    <n v="3.3959999999999999"/>
    <n v="3.3959999999999999"/>
    <n v="3.3959999999999999"/>
    <n v="3.3959999999999999"/>
    <n v="45"/>
    <x v="1"/>
    <n v="0"/>
    <n v="0"/>
    <n v="23"/>
    <n v="43"/>
    <n v="0"/>
    <n v="311.93"/>
    <n v="267.91000000000003"/>
    <m/>
    <n v="347.29086710316517"/>
    <n v="185.42082399535556"/>
    <n v="0"/>
    <n v="1059.3142800000001"/>
    <n v="909.82236000000012"/>
    <n v="0"/>
    <n v="1179.3997846823488"/>
    <n v="629.68911828822752"/>
  </r>
  <r>
    <s v="Regular"/>
    <x v="1"/>
    <x v="2"/>
    <x v="3"/>
    <x v="6"/>
    <x v="1"/>
    <x v="0"/>
    <x v="1"/>
    <x v="5"/>
    <n v="0"/>
    <n v="0"/>
    <n v="3.423"/>
    <n v="3.423"/>
    <n v="3.423"/>
    <n v="3.423"/>
    <n v="44"/>
    <x v="1"/>
    <n v="0"/>
    <n v="0"/>
    <n v="23"/>
    <n v="43"/>
    <n v="0"/>
    <n v="311.93"/>
    <n v="267.91000000000003"/>
    <m/>
    <n v="347.29086710316517"/>
    <n v="185.42082399535556"/>
    <n v="0"/>
    <n v="1067.73639"/>
    <n v="917.0559300000001"/>
    <n v="0"/>
    <n v="1188.7766380941343"/>
    <n v="634.69548053610208"/>
  </r>
  <r>
    <s v="Regular"/>
    <x v="1"/>
    <x v="2"/>
    <x v="3"/>
    <x v="6"/>
    <x v="1"/>
    <x v="0"/>
    <x v="1"/>
    <x v="6"/>
    <n v="0"/>
    <n v="0"/>
    <n v="4.8380000000000001"/>
    <n v="4.8380000000000001"/>
    <n v="4.8380000000000001"/>
    <n v="4.8380000000000001"/>
    <n v="57"/>
    <x v="1"/>
    <n v="0"/>
    <n v="0"/>
    <n v="23"/>
    <n v="43"/>
    <n v="0"/>
    <n v="311.93"/>
    <n v="267.91000000000003"/>
    <m/>
    <n v="347.29086710316517"/>
    <n v="185.42082399535556"/>
    <n v="0"/>
    <n v="1509.11734"/>
    <n v="1296.14858"/>
    <n v="0"/>
    <n v="1680.1932150451132"/>
    <n v="897.06594648953023"/>
  </r>
  <r>
    <s v="Regular"/>
    <x v="1"/>
    <x v="2"/>
    <x v="3"/>
    <x v="6"/>
    <x v="1"/>
    <x v="0"/>
    <x v="1"/>
    <x v="7"/>
    <n v="0"/>
    <n v="0"/>
    <n v="4.3819999999999997"/>
    <n v="4.3819999999999997"/>
    <n v="4.3819999999999997"/>
    <n v="4.3819999999999997"/>
    <n v="48"/>
    <x v="1"/>
    <n v="0"/>
    <n v="0"/>
    <n v="23"/>
    <n v="43"/>
    <n v="0"/>
    <n v="311.93"/>
    <n v="267.91000000000003"/>
    <m/>
    <n v="347.29086710316517"/>
    <n v="185.42082399535556"/>
    <n v="0"/>
    <n v="1366.87726"/>
    <n v="1173.98162"/>
    <n v="0"/>
    <n v="1521.8285796460696"/>
    <n v="812.51405074764796"/>
  </r>
  <r>
    <s v="Regular"/>
    <x v="1"/>
    <x v="2"/>
    <x v="3"/>
    <x v="6"/>
    <x v="1"/>
    <x v="0"/>
    <x v="1"/>
    <x v="8"/>
    <n v="0"/>
    <n v="0"/>
    <n v="2.6850000000000001"/>
    <n v="2.6850000000000001"/>
    <n v="2.6850000000000001"/>
    <n v="2.6850000000000001"/>
    <n v="37"/>
    <x v="1"/>
    <n v="0"/>
    <n v="0"/>
    <n v="23"/>
    <n v="43"/>
    <n v="0"/>
    <n v="311.93"/>
    <n v="267.91000000000003"/>
    <m/>
    <n v="347.29086710316517"/>
    <n v="185.42082399535556"/>
    <n v="0"/>
    <n v="837.53205000000003"/>
    <n v="719.3383500000001"/>
    <n v="0"/>
    <n v="932.47597817199846"/>
    <n v="497.85491242752971"/>
  </r>
  <r>
    <s v="Regular"/>
    <x v="1"/>
    <x v="2"/>
    <x v="3"/>
    <x v="6"/>
    <x v="1"/>
    <x v="0"/>
    <x v="1"/>
    <x v="9"/>
    <n v="0"/>
    <n v="0"/>
    <n v="1.996"/>
    <n v="1.996"/>
    <n v="1.996"/>
    <n v="1.996"/>
    <n v="27"/>
    <x v="1"/>
    <n v="0"/>
    <n v="0"/>
    <n v="23"/>
    <n v="43"/>
    <n v="0"/>
    <n v="311.93"/>
    <n v="267.91000000000003"/>
    <m/>
    <n v="347.29086710316517"/>
    <n v="185.42082399535556"/>
    <n v="0"/>
    <n v="622.61228000000006"/>
    <n v="534.74836000000005"/>
    <n v="0"/>
    <n v="693.19257073791766"/>
    <n v="370.09996469472969"/>
  </r>
  <r>
    <s v="Regular"/>
    <x v="1"/>
    <x v="2"/>
    <x v="3"/>
    <x v="6"/>
    <x v="1"/>
    <x v="0"/>
    <x v="1"/>
    <x v="10"/>
    <n v="0"/>
    <n v="0"/>
    <n v="2.0640000000000001"/>
    <n v="2.0640000000000001"/>
    <n v="2.0640000000000001"/>
    <n v="2.0640000000000001"/>
    <n v="27"/>
    <x v="1"/>
    <n v="0"/>
    <n v="0"/>
    <n v="23"/>
    <n v="43"/>
    <n v="0"/>
    <n v="311.93"/>
    <n v="267.91000000000003"/>
    <m/>
    <n v="347.29086710316517"/>
    <n v="185.42082399535556"/>
    <n v="0"/>
    <n v="643.82352000000003"/>
    <n v="552.96624000000008"/>
    <n v="0"/>
    <n v="716.80834970093292"/>
    <n v="382.70858072641391"/>
  </r>
  <r>
    <s v="Regular"/>
    <x v="1"/>
    <x v="2"/>
    <x v="3"/>
    <x v="6"/>
    <x v="1"/>
    <x v="0"/>
    <x v="1"/>
    <x v="11"/>
    <n v="0"/>
    <n v="0"/>
    <n v="2.57"/>
    <n v="2.57"/>
    <n v="2.57"/>
    <n v="2.57"/>
    <n v="28"/>
    <x v="1"/>
    <n v="0"/>
    <n v="0"/>
    <n v="23"/>
    <n v="43"/>
    <n v="0"/>
    <n v="311.93"/>
    <n v="267.91000000000003"/>
    <m/>
    <n v="347.29086710316517"/>
    <n v="185.42082399535556"/>
    <n v="0"/>
    <n v="801.66009999999994"/>
    <n v="688.52870000000007"/>
    <n v="0"/>
    <n v="892.53752845513441"/>
    <n v="476.53151766806377"/>
  </r>
  <r>
    <s v="Regular"/>
    <x v="2"/>
    <x v="2"/>
    <x v="2"/>
    <x v="1"/>
    <x v="3"/>
    <x v="0"/>
    <x v="1"/>
    <x v="0"/>
    <n v="0"/>
    <n v="0"/>
    <n v="114.512"/>
    <n v="114.512"/>
    <n v="114.512"/>
    <n v="114.512"/>
    <n v="0"/>
    <x v="1"/>
    <n v="0"/>
    <n v="0"/>
    <n v="20"/>
    <n v="52"/>
    <n v="0"/>
    <n v="323.62"/>
    <n v="235.76"/>
    <m/>
    <n v="430.34571793331889"/>
    <n v="174.29557455563423"/>
    <n v="0"/>
    <n v="37058.373440000003"/>
    <n v="26997.349119999999"/>
    <n v="0"/>
    <n v="49279.748851980214"/>
    <n v="19958.934833514788"/>
  </r>
  <r>
    <s v="Regular"/>
    <x v="2"/>
    <x v="2"/>
    <x v="2"/>
    <x v="1"/>
    <x v="3"/>
    <x v="0"/>
    <x v="1"/>
    <x v="1"/>
    <n v="0"/>
    <n v="0"/>
    <n v="145.73699999999999"/>
    <n v="145.73699999999999"/>
    <n v="145.73699999999999"/>
    <n v="145.73699999999999"/>
    <n v="0"/>
    <x v="1"/>
    <n v="0"/>
    <n v="0"/>
    <n v="20"/>
    <n v="52"/>
    <n v="0"/>
    <n v="323.62"/>
    <n v="235.76"/>
    <m/>
    <n v="430.34571793331889"/>
    <n v="174.29557455563423"/>
    <n v="0"/>
    <n v="47163.407939999997"/>
    <n v="34358.955119999999"/>
    <n v="0"/>
    <n v="62717.293894448092"/>
    <n v="25401.314149014466"/>
  </r>
  <r>
    <s v="Regular"/>
    <x v="2"/>
    <x v="2"/>
    <x v="2"/>
    <x v="1"/>
    <x v="3"/>
    <x v="0"/>
    <x v="1"/>
    <x v="2"/>
    <n v="0"/>
    <n v="0"/>
    <n v="36.270000000000003"/>
    <n v="36.270000000000003"/>
    <n v="36.270000000000003"/>
    <n v="36.270000000000003"/>
    <n v="0"/>
    <x v="1"/>
    <n v="0"/>
    <n v="0"/>
    <n v="20"/>
    <n v="52"/>
    <n v="0"/>
    <n v="323.62"/>
    <n v="235.76"/>
    <m/>
    <n v="430.34571793331889"/>
    <n v="174.29557455563423"/>
    <n v="0"/>
    <n v="11737.697400000001"/>
    <n v="8551.0151999999998"/>
    <n v="0"/>
    <n v="15608.639189441477"/>
    <n v="6321.7004891328543"/>
  </r>
  <r>
    <s v="Regular"/>
    <x v="2"/>
    <x v="2"/>
    <x v="2"/>
    <x v="1"/>
    <x v="3"/>
    <x v="0"/>
    <x v="1"/>
    <x v="3"/>
    <n v="0"/>
    <n v="0"/>
    <n v="29.285"/>
    <n v="29.285"/>
    <n v="29.285"/>
    <n v="29.285"/>
    <n v="0"/>
    <x v="1"/>
    <n v="0"/>
    <n v="0"/>
    <n v="20"/>
    <n v="52"/>
    <n v="0"/>
    <n v="323.62"/>
    <n v="235.76"/>
    <m/>
    <n v="430.34571793331889"/>
    <n v="174.29557455563423"/>
    <n v="0"/>
    <n v="9477.2116999999998"/>
    <n v="6904.2316000000001"/>
    <n v="0"/>
    <n v="12602.674349677243"/>
    <n v="5104.2459008617489"/>
  </r>
  <r>
    <s v="Regular"/>
    <x v="2"/>
    <x v="2"/>
    <x v="2"/>
    <x v="1"/>
    <x v="3"/>
    <x v="0"/>
    <x v="1"/>
    <x v="4"/>
    <n v="0"/>
    <n v="0"/>
    <n v="12.792"/>
    <n v="12.792"/>
    <n v="12.792"/>
    <n v="12.792"/>
    <n v="0"/>
    <x v="1"/>
    <n v="0"/>
    <n v="0"/>
    <n v="20"/>
    <n v="52"/>
    <n v="0"/>
    <n v="323.62"/>
    <n v="235.76"/>
    <m/>
    <n v="430.34571793331889"/>
    <n v="174.29557455563423"/>
    <n v="0"/>
    <n v="4139.7470400000002"/>
    <n v="3015.8419199999998"/>
    <n v="0"/>
    <n v="5504.9824238030151"/>
    <n v="2229.5889897156731"/>
  </r>
  <r>
    <s v="Regular"/>
    <x v="2"/>
    <x v="2"/>
    <x v="2"/>
    <x v="1"/>
    <x v="3"/>
    <x v="0"/>
    <x v="1"/>
    <x v="5"/>
    <n v="0"/>
    <n v="0"/>
    <n v="7.1849999999999996"/>
    <n v="7.1849999999999996"/>
    <n v="7.1849999999999996"/>
    <n v="7.1849999999999996"/>
    <n v="0"/>
    <x v="1"/>
    <n v="0"/>
    <n v="0"/>
    <n v="20"/>
    <n v="52"/>
    <n v="0"/>
    <n v="323.62"/>
    <n v="235.76"/>
    <m/>
    <n v="430.34571793331889"/>
    <n v="174.29557455563423"/>
    <n v="0"/>
    <n v="2325.2096999999999"/>
    <n v="1693.9355999999998"/>
    <n v="0"/>
    <n v="3092.0339833508961"/>
    <n v="1252.3137031822318"/>
  </r>
  <r>
    <s v="Regular"/>
    <x v="2"/>
    <x v="2"/>
    <x v="2"/>
    <x v="1"/>
    <x v="3"/>
    <x v="0"/>
    <x v="1"/>
    <x v="6"/>
    <n v="0"/>
    <n v="0"/>
    <n v="22.152000000000001"/>
    <n v="22.152000000000001"/>
    <n v="22.152000000000001"/>
    <n v="22.152000000000001"/>
    <n v="0"/>
    <x v="1"/>
    <n v="0"/>
    <n v="0"/>
    <n v="20"/>
    <n v="52"/>
    <n v="0"/>
    <n v="323.62"/>
    <n v="235.76"/>
    <m/>
    <n v="430.34571793331889"/>
    <n v="174.29557455563423"/>
    <n v="0"/>
    <n v="7168.8302400000002"/>
    <n v="5222.5555199999999"/>
    <n v="0"/>
    <n v="9533.0183436588813"/>
    <n v="3860.9955675564097"/>
  </r>
  <r>
    <s v="Regular"/>
    <x v="2"/>
    <x v="2"/>
    <x v="2"/>
    <x v="1"/>
    <x v="3"/>
    <x v="0"/>
    <x v="1"/>
    <x v="7"/>
    <n v="0"/>
    <n v="0"/>
    <n v="31.698"/>
    <n v="31.698"/>
    <n v="31.698"/>
    <n v="31.698"/>
    <n v="0"/>
    <x v="1"/>
    <n v="0"/>
    <n v="0"/>
    <n v="20"/>
    <n v="52"/>
    <n v="0"/>
    <n v="323.62"/>
    <n v="235.76"/>
    <m/>
    <n v="430.34571793331889"/>
    <n v="174.29557455563423"/>
    <n v="0"/>
    <n v="10258.106760000001"/>
    <n v="7473.1204799999996"/>
    <n v="0"/>
    <n v="13641.098567050343"/>
    <n v="5524.8211222644941"/>
  </r>
  <r>
    <s v="Regular"/>
    <x v="2"/>
    <x v="2"/>
    <x v="2"/>
    <x v="1"/>
    <x v="3"/>
    <x v="0"/>
    <x v="1"/>
    <x v="8"/>
    <n v="0"/>
    <n v="0"/>
    <n v="96.450999999999993"/>
    <n v="96.450999999999993"/>
    <n v="96.450999999999993"/>
    <n v="96.450999999999993"/>
    <n v="0"/>
    <x v="1"/>
    <n v="0"/>
    <n v="0"/>
    <n v="20"/>
    <n v="52"/>
    <n v="0"/>
    <n v="323.62"/>
    <n v="235.76"/>
    <m/>
    <n v="430.34571793331889"/>
    <n v="174.29557455563423"/>
    <n v="0"/>
    <n v="31213.472619999997"/>
    <n v="22739.287759999999"/>
    <n v="0"/>
    <n v="41507.274840386541"/>
    <n v="16810.982461465475"/>
  </r>
  <r>
    <s v="Regular"/>
    <x v="2"/>
    <x v="2"/>
    <x v="2"/>
    <x v="1"/>
    <x v="3"/>
    <x v="0"/>
    <x v="1"/>
    <x v="9"/>
    <n v="0"/>
    <n v="0"/>
    <n v="107.41500000000001"/>
    <n v="107.41500000000001"/>
    <n v="107.41500000000001"/>
    <n v="107.41500000000001"/>
    <n v="0"/>
    <x v="1"/>
    <n v="0"/>
    <n v="0"/>
    <n v="20"/>
    <n v="52"/>
    <n v="0"/>
    <n v="323.62"/>
    <n v="235.76"/>
    <m/>
    <n v="430.34571793331889"/>
    <n v="174.29557455563423"/>
    <n v="0"/>
    <n v="34761.6423"/>
    <n v="25324.160400000001"/>
    <n v="0"/>
    <n v="46225.585291807452"/>
    <n v="18721.959140893454"/>
  </r>
  <r>
    <s v="Regular"/>
    <x v="2"/>
    <x v="2"/>
    <x v="2"/>
    <x v="1"/>
    <x v="3"/>
    <x v="0"/>
    <x v="1"/>
    <x v="10"/>
    <n v="0"/>
    <n v="0"/>
    <n v="104.85899999999999"/>
    <n v="104.85899999999999"/>
    <n v="104.85899999999999"/>
    <n v="104.85899999999999"/>
    <n v="0"/>
    <x v="1"/>
    <n v="0"/>
    <n v="0"/>
    <n v="20"/>
    <n v="52"/>
    <n v="0"/>
    <n v="323.62"/>
    <n v="235.76"/>
    <m/>
    <n v="430.34571793331889"/>
    <n v="174.29557455563423"/>
    <n v="0"/>
    <n v="33934.469579999997"/>
    <n v="24721.557839999998"/>
    <n v="0"/>
    <n v="45125.621636769887"/>
    <n v="18276.459652329249"/>
  </r>
  <r>
    <s v="Regular"/>
    <x v="2"/>
    <x v="2"/>
    <x v="2"/>
    <x v="1"/>
    <x v="3"/>
    <x v="0"/>
    <x v="1"/>
    <x v="11"/>
    <n v="0"/>
    <n v="0"/>
    <n v="156.339"/>
    <n v="156.339"/>
    <n v="156.339"/>
    <n v="156.339"/>
    <n v="0"/>
    <x v="1"/>
    <n v="0"/>
    <n v="0"/>
    <n v="20"/>
    <n v="52"/>
    <n v="0"/>
    <n v="323.62"/>
    <n v="235.76"/>
    <m/>
    <n v="430.34571793331889"/>
    <n v="174.29557455563423"/>
    <n v="0"/>
    <n v="50594.427179999999"/>
    <n v="36858.482639999995"/>
    <n v="0"/>
    <n v="67279.819195977136"/>
    <n v="27249.1958304533"/>
  </r>
  <r>
    <s v="Regular"/>
    <x v="2"/>
    <x v="2"/>
    <x v="2"/>
    <x v="1"/>
    <x v="2"/>
    <x v="0"/>
    <x v="1"/>
    <x v="0"/>
    <n v="0"/>
    <n v="0"/>
    <n v="87.742000000000004"/>
    <n v="35.096800000000002"/>
    <n v="87.742000000000004"/>
    <n v="35.096800000000002"/>
    <n v="0"/>
    <x v="1"/>
    <n v="0"/>
    <n v="0"/>
    <n v="20"/>
    <n v="52"/>
    <n v="0"/>
    <n v="323.62"/>
    <n v="235.76"/>
    <m/>
    <n v="430.34571793331889"/>
    <n v="174.29557455563423"/>
    <n v="0"/>
    <n v="11358.026416000001"/>
    <n v="8274.4215679999998"/>
    <n v="0"/>
    <n v="15103.757593162107"/>
    <n v="6117.2169210641841"/>
  </r>
  <r>
    <s v="Regular"/>
    <x v="2"/>
    <x v="2"/>
    <x v="2"/>
    <x v="1"/>
    <x v="2"/>
    <x v="0"/>
    <x v="1"/>
    <x v="1"/>
    <n v="0"/>
    <n v="0"/>
    <n v="112.003"/>
    <n v="44.801200000000001"/>
    <n v="112.003"/>
    <n v="44.801200000000001"/>
    <n v="0"/>
    <x v="1"/>
    <n v="0"/>
    <n v="0"/>
    <n v="20"/>
    <n v="52"/>
    <n v="0"/>
    <n v="323.62"/>
    <n v="235.76"/>
    <m/>
    <n v="430.34571793331889"/>
    <n v="174.29557455563423"/>
    <n v="0"/>
    <n v="14498.564344"/>
    <n v="10562.330911999999"/>
    <n v="0"/>
    <n v="19280.004578274205"/>
    <n v="7808.6508947818802"/>
  </r>
  <r>
    <s v="Regular"/>
    <x v="2"/>
    <x v="2"/>
    <x v="2"/>
    <x v="1"/>
    <x v="2"/>
    <x v="0"/>
    <x v="1"/>
    <x v="2"/>
    <n v="0"/>
    <n v="0"/>
    <n v="22.62"/>
    <n v="9.048"/>
    <n v="22.62"/>
    <n v="9.048"/>
    <n v="0"/>
    <x v="1"/>
    <n v="0"/>
    <n v="0"/>
    <n v="20"/>
    <n v="52"/>
    <n v="0"/>
    <n v="323.62"/>
    <n v="235.76"/>
    <m/>
    <n v="430.34571793331889"/>
    <n v="174.29557455563423"/>
    <n v="0"/>
    <n v="2928.1137600000002"/>
    <n v="2133.1564800000001"/>
    <n v="0"/>
    <n v="3893.7680558606694"/>
    <n v="1577.0263585793784"/>
  </r>
  <r>
    <s v="Regular"/>
    <x v="2"/>
    <x v="2"/>
    <x v="2"/>
    <x v="1"/>
    <x v="2"/>
    <x v="0"/>
    <x v="1"/>
    <x v="3"/>
    <n v="0"/>
    <n v="0"/>
    <n v="17.277999999999999"/>
    <n v="6.9112"/>
    <n v="17.277999999999999"/>
    <n v="6.9112"/>
    <n v="0"/>
    <x v="1"/>
    <n v="0"/>
    <n v="0"/>
    <n v="20"/>
    <n v="52"/>
    <n v="0"/>
    <n v="323.62"/>
    <n v="235.76"/>
    <m/>
    <n v="430.34571793331889"/>
    <n v="174.29557455563423"/>
    <n v="0"/>
    <n v="2236.6025439999999"/>
    <n v="1629.3845119999999"/>
    <n v="0"/>
    <n v="2974.2053257807534"/>
    <n v="1204.5915748688992"/>
  </r>
  <r>
    <s v="Regular"/>
    <x v="2"/>
    <x v="2"/>
    <x v="2"/>
    <x v="1"/>
    <x v="2"/>
    <x v="0"/>
    <x v="1"/>
    <x v="4"/>
    <n v="0"/>
    <n v="0"/>
    <n v="5.5650000000000004"/>
    <n v="2.226"/>
    <n v="5.5650000000000004"/>
    <n v="2.226"/>
    <n v="0"/>
    <x v="1"/>
    <n v="0"/>
    <n v="0"/>
    <n v="20"/>
    <n v="52"/>
    <n v="0"/>
    <n v="323.62"/>
    <n v="235.76"/>
    <m/>
    <n v="430.34571793331889"/>
    <n v="174.29557455563423"/>
    <n v="0"/>
    <n v="720.37811999999997"/>
    <n v="524.80175999999994"/>
    <n v="0"/>
    <n v="957.94956811956786"/>
    <n v="387.98194896084181"/>
  </r>
  <r>
    <s v="Regular"/>
    <x v="2"/>
    <x v="2"/>
    <x v="2"/>
    <x v="1"/>
    <x v="2"/>
    <x v="0"/>
    <x v="1"/>
    <x v="5"/>
    <n v="0"/>
    <n v="0"/>
    <n v="4.9180000000000001"/>
    <n v="1.9672000000000001"/>
    <n v="4.9180000000000001"/>
    <n v="1.9672000000000001"/>
    <n v="0"/>
    <x v="1"/>
    <n v="0"/>
    <n v="0"/>
    <n v="20"/>
    <n v="52"/>
    <n v="0"/>
    <n v="323.62"/>
    <n v="235.76"/>
    <m/>
    <n v="430.34571793331889"/>
    <n v="174.29557455563423"/>
    <n v="0"/>
    <n v="636.62526400000002"/>
    <n v="463.78707200000002"/>
    <n v="0"/>
    <n v="846.5760963184249"/>
    <n v="342.87425426584366"/>
  </r>
  <r>
    <s v="Regular"/>
    <x v="2"/>
    <x v="2"/>
    <x v="2"/>
    <x v="1"/>
    <x v="2"/>
    <x v="0"/>
    <x v="1"/>
    <x v="6"/>
    <n v="0"/>
    <n v="0"/>
    <n v="12.819000000000001"/>
    <n v="5.1276000000000002"/>
    <n v="12.819000000000001"/>
    <n v="5.1276000000000002"/>
    <n v="0"/>
    <x v="1"/>
    <n v="0"/>
    <n v="0"/>
    <n v="20"/>
    <n v="52"/>
    <n v="0"/>
    <n v="323.62"/>
    <n v="235.76"/>
    <m/>
    <n v="430.34571793331889"/>
    <n v="174.29557455563423"/>
    <n v="0"/>
    <n v="1659.393912"/>
    <n v="1208.8829760000001"/>
    <n v="0"/>
    <n v="2206.6407032748862"/>
    <n v="893.71798809147015"/>
  </r>
  <r>
    <s v="Regular"/>
    <x v="2"/>
    <x v="2"/>
    <x v="2"/>
    <x v="1"/>
    <x v="2"/>
    <x v="0"/>
    <x v="1"/>
    <x v="7"/>
    <n v="0"/>
    <n v="0"/>
    <n v="23.279"/>
    <n v="9.3116000000000003"/>
    <n v="23.279"/>
    <n v="9.3116000000000003"/>
    <n v="0"/>
    <x v="1"/>
    <n v="0"/>
    <n v="0"/>
    <n v="20"/>
    <n v="52"/>
    <n v="0"/>
    <n v="323.62"/>
    <n v="235.76"/>
    <m/>
    <n v="430.34571793331889"/>
    <n v="174.29557455563423"/>
    <n v="0"/>
    <n v="3013.4199920000001"/>
    <n v="2195.3028159999999"/>
    <n v="0"/>
    <n v="4007.2071871078924"/>
    <n v="1622.9706720322438"/>
  </r>
  <r>
    <s v="Regular"/>
    <x v="2"/>
    <x v="2"/>
    <x v="2"/>
    <x v="1"/>
    <x v="2"/>
    <x v="0"/>
    <x v="1"/>
    <x v="8"/>
    <n v="0"/>
    <n v="0"/>
    <n v="71.798000000000002"/>
    <n v="28.719200000000001"/>
    <n v="71.798000000000002"/>
    <n v="28.719200000000001"/>
    <n v="0"/>
    <x v="1"/>
    <n v="0"/>
    <n v="0"/>
    <n v="20"/>
    <n v="52"/>
    <n v="0"/>
    <n v="323.62"/>
    <n v="235.76"/>
    <m/>
    <n v="430.34571793331889"/>
    <n v="174.29557455563423"/>
    <n v="0"/>
    <n v="9294.1075039999996"/>
    <n v="6770.8385920000001"/>
    <n v="0"/>
    <n v="12359.184742470572"/>
    <n v="5005.6294647781706"/>
  </r>
  <r>
    <s v="Regular"/>
    <x v="2"/>
    <x v="2"/>
    <x v="2"/>
    <x v="1"/>
    <x v="2"/>
    <x v="0"/>
    <x v="1"/>
    <x v="9"/>
    <n v="0"/>
    <n v="0"/>
    <n v="83.411000000000001"/>
    <n v="33.364400000000003"/>
    <n v="83.411000000000001"/>
    <n v="33.364400000000003"/>
    <n v="0"/>
    <x v="1"/>
    <n v="0"/>
    <n v="0"/>
    <n v="20"/>
    <n v="52"/>
    <n v="0"/>
    <n v="323.62"/>
    <n v="235.76"/>
    <m/>
    <n v="430.34571793331889"/>
    <n v="174.29557455563423"/>
    <n v="0"/>
    <n v="10797.387128000002"/>
    <n v="7865.9909440000001"/>
    <n v="0"/>
    <n v="14358.226671414426"/>
    <n v="5815.2672677040036"/>
  </r>
  <r>
    <s v="Regular"/>
    <x v="2"/>
    <x v="2"/>
    <x v="2"/>
    <x v="1"/>
    <x v="2"/>
    <x v="0"/>
    <x v="1"/>
    <x v="10"/>
    <n v="0"/>
    <n v="0"/>
    <n v="91.402000000000001"/>
    <n v="36.5608"/>
    <n v="91.402000000000001"/>
    <n v="36.5608"/>
    <n v="0"/>
    <x v="1"/>
    <n v="0"/>
    <n v="0"/>
    <n v="20"/>
    <n v="52"/>
    <n v="0"/>
    <n v="323.62"/>
    <n v="235.76"/>
    <m/>
    <n v="430.34571793331889"/>
    <n v="174.29557455563423"/>
    <n v="0"/>
    <n v="11831.806096"/>
    <n v="8619.574208"/>
    <n v="0"/>
    <n v="15733.783724216486"/>
    <n v="6372.3856422136323"/>
  </r>
  <r>
    <s v="Regular"/>
    <x v="2"/>
    <x v="2"/>
    <x v="2"/>
    <x v="1"/>
    <x v="2"/>
    <x v="0"/>
    <x v="1"/>
    <x v="11"/>
    <n v="0"/>
    <n v="0"/>
    <n v="122.92100000000001"/>
    <n v="49.168399999999998"/>
    <n v="122.92100000000001"/>
    <n v="49.168399999999998"/>
    <n v="0"/>
    <x v="1"/>
    <n v="0"/>
    <n v="0"/>
    <n v="20"/>
    <n v="52"/>
    <n v="0"/>
    <n v="323.62"/>
    <n v="235.76"/>
    <m/>
    <n v="430.34571793331889"/>
    <n v="174.29557455563423"/>
    <n v="0"/>
    <n v="15911.877607999999"/>
    <n v="11591.941983999999"/>
    <n v="0"/>
    <n v="21159.410397632597"/>
    <n v="8569.8345279812456"/>
  </r>
  <r>
    <s v="Regular"/>
    <x v="2"/>
    <x v="2"/>
    <x v="2"/>
    <x v="7"/>
    <x v="3"/>
    <x v="0"/>
    <x v="1"/>
    <x v="9"/>
    <n v="0"/>
    <n v="0"/>
    <n v="1.6659999999999999"/>
    <n v="1.6659999999999999"/>
    <n v="1.6659999999999999"/>
    <n v="1.6659999999999999"/>
    <n v="0"/>
    <x v="1"/>
    <n v="0"/>
    <n v="0"/>
    <n v="20"/>
    <n v="52"/>
    <n v="0"/>
    <n v="323.62"/>
    <n v="235.76"/>
    <m/>
    <n v="430.34571793331889"/>
    <n v="174.29557455563423"/>
    <n v="0"/>
    <n v="539.15091999999993"/>
    <n v="392.77615999999995"/>
    <n v="0"/>
    <n v="716.95596607690925"/>
    <n v="290.3764272096866"/>
  </r>
  <r>
    <s v="Regular"/>
    <x v="2"/>
    <x v="2"/>
    <x v="2"/>
    <x v="7"/>
    <x v="3"/>
    <x v="0"/>
    <x v="1"/>
    <x v="10"/>
    <n v="0"/>
    <n v="0"/>
    <n v="1.6279999999999999"/>
    <n v="1.6279999999999999"/>
    <n v="1.6279999999999999"/>
    <n v="1.6279999999999999"/>
    <n v="0"/>
    <x v="1"/>
    <n v="0"/>
    <n v="0"/>
    <n v="20"/>
    <n v="52"/>
    <n v="0"/>
    <n v="323.62"/>
    <n v="235.76"/>
    <m/>
    <n v="430.34571793331889"/>
    <n v="174.29557455563423"/>
    <n v="0"/>
    <n v="526.85335999999995"/>
    <n v="383.81727999999998"/>
    <n v="0"/>
    <n v="700.60282879544309"/>
    <n v="283.75319537657253"/>
  </r>
  <r>
    <s v="Regular"/>
    <x v="2"/>
    <x v="2"/>
    <x v="2"/>
    <x v="7"/>
    <x v="3"/>
    <x v="0"/>
    <x v="1"/>
    <x v="11"/>
    <n v="0"/>
    <n v="0"/>
    <n v="0.871"/>
    <n v="0.871"/>
    <n v="0.871"/>
    <n v="0.871"/>
    <n v="0"/>
    <x v="1"/>
    <n v="0"/>
    <n v="0"/>
    <n v="20"/>
    <n v="52"/>
    <n v="0"/>
    <n v="323.62"/>
    <n v="235.76"/>
    <m/>
    <n v="430.34571793331889"/>
    <n v="174.29557455563423"/>
    <n v="0"/>
    <n v="281.87302"/>
    <n v="205.34696"/>
    <n v="0"/>
    <n v="374.83112031992073"/>
    <n v="151.81144543795742"/>
  </r>
  <r>
    <s v="Regular"/>
    <x v="2"/>
    <x v="2"/>
    <x v="2"/>
    <x v="7"/>
    <x v="2"/>
    <x v="0"/>
    <x v="1"/>
    <x v="10"/>
    <n v="0"/>
    <n v="0"/>
    <n v="1.3620000000000001"/>
    <n v="0.54479999999999995"/>
    <n v="1.3620000000000001"/>
    <n v="0.54479999999999995"/>
    <n v="0"/>
    <x v="1"/>
    <n v="0"/>
    <n v="0"/>
    <n v="20"/>
    <n v="52"/>
    <n v="0"/>
    <n v="323.62"/>
    <n v="235.76"/>
    <m/>
    <n v="430.34571793331889"/>
    <n v="174.29557455563423"/>
    <n v="0"/>
    <n v="176.30817599999997"/>
    <n v="128.44204799999997"/>
    <n v="0"/>
    <n v="234.45234713007213"/>
    <n v="94.956229017909521"/>
  </r>
  <r>
    <s v="Regular"/>
    <x v="2"/>
    <x v="2"/>
    <x v="2"/>
    <x v="7"/>
    <x v="2"/>
    <x v="0"/>
    <x v="1"/>
    <x v="11"/>
    <n v="0"/>
    <n v="0"/>
    <n v="0.73199999999999998"/>
    <n v="0.2928"/>
    <n v="0.73199999999999998"/>
    <n v="0.2928"/>
    <n v="0"/>
    <x v="1"/>
    <n v="0"/>
    <n v="0"/>
    <n v="20"/>
    <n v="52"/>
    <n v="0"/>
    <n v="323.62"/>
    <n v="235.76"/>
    <m/>
    <n v="430.34571793331889"/>
    <n v="174.29557455563423"/>
    <n v="0"/>
    <n v="94.755936000000005"/>
    <n v="69.030528000000004"/>
    <n v="0"/>
    <n v="126.00522621087578"/>
    <n v="51.033744229889706"/>
  </r>
  <r>
    <s v="Regular"/>
    <x v="2"/>
    <x v="2"/>
    <x v="2"/>
    <x v="0"/>
    <x v="1"/>
    <x v="0"/>
    <x v="1"/>
    <x v="0"/>
    <n v="0"/>
    <n v="0"/>
    <n v="393.584"/>
    <n v="393.584"/>
    <n v="393.584"/>
    <n v="393.584"/>
    <n v="412"/>
    <x v="1"/>
    <n v="0"/>
    <n v="0"/>
    <n v="20"/>
    <n v="52"/>
    <n v="0"/>
    <n v="323.62"/>
    <n v="235.76"/>
    <m/>
    <n v="430.34571793331889"/>
    <n v="174.29557455563423"/>
    <n v="0"/>
    <n v="127371.65408000001"/>
    <n v="92791.363839999991"/>
    <n v="0"/>
    <n v="169377.1890470674"/>
    <n v="68599.949415904746"/>
  </r>
  <r>
    <s v="Sistema de Compensação"/>
    <x v="2"/>
    <x v="2"/>
    <x v="2"/>
    <x v="0"/>
    <x v="1"/>
    <x v="0"/>
    <x v="1"/>
    <x v="0"/>
    <n v="0"/>
    <n v="0"/>
    <n v="6.82"/>
    <n v="6.82"/>
    <n v="6.82"/>
    <n v="6.82"/>
    <n v="2"/>
    <x v="1"/>
    <n v="0"/>
    <n v="0"/>
    <n v="20"/>
    <n v="52"/>
    <n v="0"/>
    <n v="323.62"/>
    <n v="235.76"/>
    <m/>
    <n v="430.34571793331889"/>
    <n v="174.29557455563423"/>
    <n v="0"/>
    <n v="2207.0884000000001"/>
    <n v="1607.8832"/>
    <n v="0"/>
    <n v="2934.9577963052352"/>
    <n v="1188.6958184694256"/>
  </r>
  <r>
    <s v="Regular"/>
    <x v="2"/>
    <x v="2"/>
    <x v="2"/>
    <x v="0"/>
    <x v="1"/>
    <x v="0"/>
    <x v="1"/>
    <x v="1"/>
    <n v="0"/>
    <n v="0"/>
    <n v="397.71499999999997"/>
    <n v="397.71499999999997"/>
    <n v="397.71499999999997"/>
    <n v="397.71499999999997"/>
    <n v="409"/>
    <x v="1"/>
    <n v="0"/>
    <n v="0"/>
    <n v="20"/>
    <n v="52"/>
    <n v="0"/>
    <n v="323.62"/>
    <n v="235.76"/>
    <m/>
    <n v="430.34571793331889"/>
    <n v="174.29557455563423"/>
    <n v="0"/>
    <n v="128708.52829999999"/>
    <n v="93765.28839999999"/>
    <n v="0"/>
    <n v="171154.94720784991"/>
    <n v="69319.96443439406"/>
  </r>
  <r>
    <s v="Sistema de Compensação"/>
    <x v="2"/>
    <x v="2"/>
    <x v="2"/>
    <x v="0"/>
    <x v="1"/>
    <x v="0"/>
    <x v="1"/>
    <x v="1"/>
    <n v="0"/>
    <n v="0"/>
    <n v="6.7629999999999999"/>
    <n v="6.7629999999999999"/>
    <n v="6.7629999999999999"/>
    <n v="6.7629999999999999"/>
    <n v="3"/>
    <x v="1"/>
    <n v="0"/>
    <n v="0"/>
    <n v="20"/>
    <n v="52"/>
    <n v="0"/>
    <n v="323.62"/>
    <n v="235.76"/>
    <m/>
    <n v="430.34571793331889"/>
    <n v="174.29557455563423"/>
    <n v="0"/>
    <n v="2188.6420600000001"/>
    <n v="1594.44488"/>
    <n v="0"/>
    <n v="2910.4280903830359"/>
    <n v="1178.7609707197544"/>
  </r>
  <r>
    <s v="Regular"/>
    <x v="2"/>
    <x v="2"/>
    <x v="2"/>
    <x v="0"/>
    <x v="1"/>
    <x v="0"/>
    <x v="1"/>
    <x v="2"/>
    <n v="0"/>
    <n v="0"/>
    <n v="299.173"/>
    <n v="299.173"/>
    <n v="299.173"/>
    <n v="299.173"/>
    <n v="407"/>
    <x v="1"/>
    <n v="0"/>
    <n v="0"/>
    <n v="20"/>
    <n v="52"/>
    <n v="0"/>
    <n v="323.62"/>
    <n v="235.76"/>
    <m/>
    <n v="430.34571793331889"/>
    <n v="174.29557455563423"/>
    <n v="0"/>
    <n v="96818.366259999995"/>
    <n v="70533.02648"/>
    <n v="0"/>
    <n v="128747.81947126481"/>
    <n v="52144.529926532763"/>
  </r>
  <r>
    <s v="Refaturamento - Regular"/>
    <x v="2"/>
    <x v="2"/>
    <x v="2"/>
    <x v="0"/>
    <x v="1"/>
    <x v="0"/>
    <x v="1"/>
    <x v="2"/>
    <n v="0"/>
    <n v="0"/>
    <n v="-3.1520000000000001"/>
    <n v="-3.1520000000000001"/>
    <n v="-3.1520000000000001"/>
    <n v="-3.1520000000000001"/>
    <n v="0"/>
    <x v="1"/>
    <n v="0"/>
    <n v="0"/>
    <n v="20"/>
    <n v="52"/>
    <n v="0"/>
    <n v="323.62"/>
    <n v="235.76"/>
    <m/>
    <n v="430.34571793331889"/>
    <n v="174.29557455563423"/>
    <n v="0"/>
    <n v="-1020.05024"/>
    <n v="-743.11551999999995"/>
    <n v="0"/>
    <n v="-1356.4497029258212"/>
    <n v="-549.37965099935911"/>
  </r>
  <r>
    <s v="Sistema de Compensação"/>
    <x v="2"/>
    <x v="2"/>
    <x v="2"/>
    <x v="0"/>
    <x v="1"/>
    <x v="0"/>
    <x v="1"/>
    <x v="2"/>
    <n v="0"/>
    <n v="0"/>
    <n v="5.84"/>
    <n v="5.84"/>
    <n v="5.84"/>
    <n v="5.84"/>
    <n v="3"/>
    <x v="1"/>
    <n v="0"/>
    <n v="0"/>
    <n v="20"/>
    <n v="52"/>
    <n v="0"/>
    <n v="323.62"/>
    <n v="235.76"/>
    <m/>
    <n v="430.34571793331889"/>
    <n v="174.29557455563423"/>
    <n v="0"/>
    <n v="1889.9408000000001"/>
    <n v="1376.8383999999999"/>
    <n v="0"/>
    <n v="2513.2189927305822"/>
    <n v="1017.8861554049039"/>
  </r>
  <r>
    <s v="Regular"/>
    <x v="2"/>
    <x v="2"/>
    <x v="2"/>
    <x v="0"/>
    <x v="1"/>
    <x v="0"/>
    <x v="1"/>
    <x v="3"/>
    <n v="0"/>
    <n v="0"/>
    <n v="284.95699999999999"/>
    <n v="284.95699999999999"/>
    <n v="284.95699999999999"/>
    <n v="284.95699999999999"/>
    <n v="405"/>
    <x v="1"/>
    <n v="0"/>
    <n v="0"/>
    <n v="20"/>
    <n v="52"/>
    <n v="0"/>
    <n v="323.62"/>
    <n v="235.76"/>
    <m/>
    <n v="430.34571793331889"/>
    <n v="174.29557455563423"/>
    <n v="0"/>
    <n v="92217.784339999998"/>
    <n v="67181.462319999991"/>
    <n v="0"/>
    <n v="122630.02474512476"/>
    <n v="49666.744038649864"/>
  </r>
  <r>
    <s v="Refaturamento - Regular"/>
    <x v="2"/>
    <x v="2"/>
    <x v="2"/>
    <x v="0"/>
    <x v="1"/>
    <x v="0"/>
    <x v="1"/>
    <x v="3"/>
    <n v="0"/>
    <n v="0"/>
    <n v="-0.1"/>
    <n v="-0.1"/>
    <n v="-0.1"/>
    <n v="-0.1"/>
    <n v="0"/>
    <x v="1"/>
    <n v="0"/>
    <n v="0"/>
    <n v="20"/>
    <n v="52"/>
    <n v="0"/>
    <n v="323.62"/>
    <n v="235.76"/>
    <m/>
    <n v="430.34571793331889"/>
    <n v="174.29557455563423"/>
    <n v="0"/>
    <n v="-32.362000000000002"/>
    <n v="-23.576000000000001"/>
    <n v="0"/>
    <n v="-43.034571793331892"/>
    <n v="-17.429557455563423"/>
  </r>
  <r>
    <s v="Sistema de Compensação"/>
    <x v="2"/>
    <x v="2"/>
    <x v="2"/>
    <x v="0"/>
    <x v="1"/>
    <x v="0"/>
    <x v="1"/>
    <x v="3"/>
    <n v="0"/>
    <n v="0"/>
    <n v="6.6379999999999999"/>
    <n v="6.6379999999999999"/>
    <n v="6.6379999999999999"/>
    <n v="6.6379999999999999"/>
    <n v="4"/>
    <x v="1"/>
    <n v="0"/>
    <n v="0"/>
    <n v="20"/>
    <n v="52"/>
    <n v="0"/>
    <n v="323.62"/>
    <n v="235.76"/>
    <m/>
    <n v="430.34571793331889"/>
    <n v="174.29557455563423"/>
    <n v="0"/>
    <n v="2148.1895599999998"/>
    <n v="1564.97488"/>
    <n v="0"/>
    <n v="2856.6348756413709"/>
    <n v="1156.9740239002999"/>
  </r>
  <r>
    <s v="Regular"/>
    <x v="2"/>
    <x v="2"/>
    <x v="2"/>
    <x v="0"/>
    <x v="1"/>
    <x v="0"/>
    <x v="1"/>
    <x v="4"/>
    <n v="0"/>
    <n v="0"/>
    <n v="271.41300000000001"/>
    <n v="271.41300000000001"/>
    <n v="271.41300000000001"/>
    <n v="271.41300000000001"/>
    <n v="402"/>
    <x v="1"/>
    <n v="0"/>
    <n v="0"/>
    <n v="20"/>
    <n v="52"/>
    <n v="0"/>
    <n v="323.62"/>
    <n v="235.76"/>
    <m/>
    <n v="430.34571793331889"/>
    <n v="174.29557455563423"/>
    <n v="0"/>
    <n v="87834.675060000009"/>
    <n v="63988.328880000001"/>
    <n v="0"/>
    <n v="116801.42234143589"/>
    <n v="47306.084776868352"/>
  </r>
  <r>
    <s v="Refaturamento - Regular"/>
    <x v="2"/>
    <x v="2"/>
    <x v="2"/>
    <x v="0"/>
    <x v="1"/>
    <x v="0"/>
    <x v="1"/>
    <x v="4"/>
    <n v="0"/>
    <n v="0"/>
    <n v="-0.58099999999999996"/>
    <n v="-0.58099999999999996"/>
    <n v="-0.58099999999999996"/>
    <n v="-0.58099999999999996"/>
    <n v="0"/>
    <x v="1"/>
    <n v="0"/>
    <n v="0"/>
    <n v="20"/>
    <n v="52"/>
    <n v="0"/>
    <n v="323.62"/>
    <n v="235.76"/>
    <m/>
    <n v="430.34571793331889"/>
    <n v="174.29557455563423"/>
    <n v="0"/>
    <n v="-188.02321999999998"/>
    <n v="-136.97655999999998"/>
    <n v="0"/>
    <n v="-250.03086211925827"/>
    <n v="-101.26572881682348"/>
  </r>
  <r>
    <s v="Sistema de Compensação"/>
    <x v="2"/>
    <x v="2"/>
    <x v="2"/>
    <x v="0"/>
    <x v="1"/>
    <x v="0"/>
    <x v="1"/>
    <x v="4"/>
    <n v="0"/>
    <n v="0"/>
    <n v="8.0129999999999999"/>
    <n v="8.0129999999999999"/>
    <n v="8.0129999999999999"/>
    <n v="8.0129999999999999"/>
    <n v="5"/>
    <x v="1"/>
    <n v="0"/>
    <n v="0"/>
    <n v="20"/>
    <n v="52"/>
    <n v="0"/>
    <n v="323.62"/>
    <n v="235.76"/>
    <m/>
    <n v="430.34571793331889"/>
    <n v="174.29557455563423"/>
    <n v="0"/>
    <n v="2593.1670600000002"/>
    <n v="1889.1448799999998"/>
    <n v="0"/>
    <n v="3448.3602377996845"/>
    <n v="1396.630438914297"/>
  </r>
  <r>
    <s v="Regular"/>
    <x v="2"/>
    <x v="2"/>
    <x v="2"/>
    <x v="0"/>
    <x v="1"/>
    <x v="0"/>
    <x v="1"/>
    <x v="5"/>
    <n v="0"/>
    <n v="0"/>
    <n v="282.45800000000003"/>
    <n v="282.45800000000003"/>
    <n v="282.45800000000003"/>
    <n v="282.45800000000003"/>
    <n v="401"/>
    <x v="1"/>
    <n v="0"/>
    <n v="0"/>
    <n v="20"/>
    <n v="52"/>
    <n v="0"/>
    <n v="323.62"/>
    <n v="235.76"/>
    <m/>
    <n v="430.34571793331889"/>
    <n v="174.29557455563423"/>
    <n v="0"/>
    <n v="91409.057960000006"/>
    <n v="66592.298080000008"/>
    <n v="0"/>
    <n v="121554.5907960094"/>
    <n v="49231.179397835338"/>
  </r>
  <r>
    <s v="Sistema de Compensação"/>
    <x v="2"/>
    <x v="2"/>
    <x v="2"/>
    <x v="0"/>
    <x v="1"/>
    <x v="0"/>
    <x v="1"/>
    <x v="5"/>
    <n v="0"/>
    <n v="0"/>
    <n v="5.6319999999999997"/>
    <n v="5.6319999999999997"/>
    <n v="5.6319999999999997"/>
    <n v="5.6319999999999997"/>
    <n v="5"/>
    <x v="1"/>
    <n v="0"/>
    <n v="0"/>
    <n v="20"/>
    <n v="52"/>
    <n v="0"/>
    <n v="323.62"/>
    <n v="235.76"/>
    <m/>
    <n v="430.34571793331889"/>
    <n v="174.29557455563423"/>
    <n v="0"/>
    <n v="1822.6278399999999"/>
    <n v="1327.8003199999998"/>
    <n v="0"/>
    <n v="2423.7070834004517"/>
    <n v="981.63267589733198"/>
  </r>
  <r>
    <s v="Regular"/>
    <x v="2"/>
    <x v="2"/>
    <x v="2"/>
    <x v="0"/>
    <x v="1"/>
    <x v="0"/>
    <x v="1"/>
    <x v="6"/>
    <n v="0"/>
    <n v="0"/>
    <n v="271.971"/>
    <n v="271.971"/>
    <n v="271.971"/>
    <n v="271.971"/>
    <n v="403"/>
    <x v="1"/>
    <n v="0"/>
    <n v="0"/>
    <n v="20"/>
    <n v="52"/>
    <n v="0"/>
    <n v="323.62"/>
    <n v="235.76"/>
    <m/>
    <n v="430.34571793331889"/>
    <n v="174.29557455563423"/>
    <n v="0"/>
    <n v="88015.255019999997"/>
    <n v="64119.882959999995"/>
    <n v="0"/>
    <n v="117041.55525204267"/>
    <n v="47403.341707470398"/>
  </r>
  <r>
    <s v="Sistema de Compensação"/>
    <x v="2"/>
    <x v="2"/>
    <x v="2"/>
    <x v="0"/>
    <x v="1"/>
    <x v="0"/>
    <x v="1"/>
    <x v="6"/>
    <n v="0"/>
    <n v="0"/>
    <n v="9.7609999999999992"/>
    <n v="9.7609999999999992"/>
    <n v="9.7609999999999992"/>
    <n v="9.7609999999999992"/>
    <n v="5"/>
    <x v="1"/>
    <n v="0"/>
    <n v="0"/>
    <n v="20"/>
    <n v="52"/>
    <n v="0"/>
    <n v="323.62"/>
    <n v="235.76"/>
    <m/>
    <n v="430.34571793331889"/>
    <n v="174.29557455563423"/>
    <n v="0"/>
    <n v="3158.85482"/>
    <n v="2301.2533599999997"/>
    <n v="0"/>
    <n v="4200.6045527471251"/>
    <n v="1701.2991032375455"/>
  </r>
  <r>
    <s v="Regular"/>
    <x v="2"/>
    <x v="2"/>
    <x v="2"/>
    <x v="0"/>
    <x v="1"/>
    <x v="0"/>
    <x v="1"/>
    <x v="7"/>
    <n v="0"/>
    <n v="0"/>
    <n v="260.178"/>
    <n v="260.178"/>
    <n v="260.178"/>
    <n v="260.178"/>
    <n v="401"/>
    <x v="1"/>
    <n v="0"/>
    <n v="0"/>
    <n v="20"/>
    <n v="52"/>
    <n v="0"/>
    <n v="323.62"/>
    <n v="235.76"/>
    <m/>
    <n v="430.34571793331889"/>
    <n v="174.29557455563423"/>
    <n v="0"/>
    <n v="84198.804359999995"/>
    <n v="61339.565279999995"/>
    <n v="0"/>
    <n v="111966.48820045505"/>
    <n v="45347.873996735805"/>
  </r>
  <r>
    <s v="Sistema de Compensação"/>
    <x v="2"/>
    <x v="2"/>
    <x v="2"/>
    <x v="0"/>
    <x v="1"/>
    <x v="0"/>
    <x v="1"/>
    <x v="7"/>
    <n v="0"/>
    <n v="0"/>
    <n v="7.2590000000000003"/>
    <n v="7.2590000000000003"/>
    <n v="7.2590000000000003"/>
    <n v="7.2590000000000003"/>
    <n v="5"/>
    <x v="1"/>
    <n v="0"/>
    <n v="0"/>
    <n v="20"/>
    <n v="52"/>
    <n v="0"/>
    <n v="323.62"/>
    <n v="235.76"/>
    <m/>
    <n v="430.34571793331889"/>
    <n v="174.29557455563423"/>
    <n v="0"/>
    <n v="2349.1575800000001"/>
    <n v="1711.38184"/>
    <n v="0"/>
    <n v="3123.8795664779618"/>
    <n v="1265.2115756993489"/>
  </r>
  <r>
    <s v="Regular"/>
    <x v="2"/>
    <x v="2"/>
    <x v="2"/>
    <x v="0"/>
    <x v="1"/>
    <x v="0"/>
    <x v="1"/>
    <x v="8"/>
    <n v="0"/>
    <n v="0"/>
    <n v="290.74700000000001"/>
    <n v="290.74700000000001"/>
    <n v="290.74700000000001"/>
    <n v="290.74700000000001"/>
    <n v="400"/>
    <x v="1"/>
    <n v="0"/>
    <n v="0"/>
    <n v="20"/>
    <n v="52"/>
    <n v="0"/>
    <n v="323.62"/>
    <n v="235.76"/>
    <m/>
    <n v="430.34571793331889"/>
    <n v="174.29557455563423"/>
    <n v="0"/>
    <n v="94091.544140000013"/>
    <n v="68546.512719999999"/>
    <n v="0"/>
    <n v="125121.72645195868"/>
    <n v="50675.915415326992"/>
  </r>
  <r>
    <s v="Sistema de Compensação"/>
    <x v="2"/>
    <x v="2"/>
    <x v="2"/>
    <x v="0"/>
    <x v="1"/>
    <x v="0"/>
    <x v="1"/>
    <x v="8"/>
    <n v="0"/>
    <n v="0"/>
    <n v="7.97"/>
    <n v="7.97"/>
    <n v="7.97"/>
    <n v="7.97"/>
    <n v="6"/>
    <x v="1"/>
    <n v="0"/>
    <n v="0"/>
    <n v="20"/>
    <n v="52"/>
    <n v="0"/>
    <n v="323.62"/>
    <n v="235.76"/>
    <m/>
    <n v="430.34571793331889"/>
    <n v="174.29557455563423"/>
    <n v="0"/>
    <n v="2579.2514000000001"/>
    <n v="1879.0071999999998"/>
    <n v="0"/>
    <n v="3429.8553719285514"/>
    <n v="1389.1357292084049"/>
  </r>
  <r>
    <s v="Regular"/>
    <x v="2"/>
    <x v="2"/>
    <x v="2"/>
    <x v="0"/>
    <x v="1"/>
    <x v="0"/>
    <x v="1"/>
    <x v="9"/>
    <n v="0"/>
    <n v="0"/>
    <n v="250.00200000000001"/>
    <n v="250.00200000000001"/>
    <n v="250.00200000000001"/>
    <n v="250.00200000000001"/>
    <n v="401"/>
    <x v="1"/>
    <n v="0"/>
    <n v="0"/>
    <n v="20"/>
    <n v="52"/>
    <n v="0"/>
    <n v="323.62"/>
    <n v="235.76"/>
    <m/>
    <n v="430.34571793331889"/>
    <n v="174.29557455563423"/>
    <n v="0"/>
    <n v="80905.647240000006"/>
    <n v="58940.471519999999"/>
    <n v="0"/>
    <n v="107587.2901747656"/>
    <n v="43574.242230057673"/>
  </r>
  <r>
    <s v="Sistema de Compensação"/>
    <x v="2"/>
    <x v="2"/>
    <x v="2"/>
    <x v="0"/>
    <x v="1"/>
    <x v="0"/>
    <x v="1"/>
    <x v="9"/>
    <n v="0"/>
    <n v="0"/>
    <n v="12.179"/>
    <n v="12.179"/>
    <n v="12.179"/>
    <n v="12.179"/>
    <n v="8"/>
    <x v="1"/>
    <n v="0"/>
    <n v="0"/>
    <n v="20"/>
    <n v="52"/>
    <n v="0"/>
    <n v="323.62"/>
    <n v="235.76"/>
    <m/>
    <n v="430.34571793331889"/>
    <n v="174.29557455563423"/>
    <n v="0"/>
    <n v="3941.36798"/>
    <n v="2871.3210399999998"/>
    <n v="0"/>
    <n v="5241.1804987098913"/>
    <n v="2122.7458025130695"/>
  </r>
  <r>
    <s v="Regular"/>
    <x v="2"/>
    <x v="2"/>
    <x v="2"/>
    <x v="0"/>
    <x v="1"/>
    <x v="0"/>
    <x v="1"/>
    <x v="10"/>
    <n v="0"/>
    <n v="0"/>
    <n v="219.17400000000001"/>
    <n v="219.17400000000001"/>
    <n v="219.17400000000001"/>
    <n v="219.17400000000001"/>
    <n v="347"/>
    <x v="1"/>
    <n v="0"/>
    <n v="0"/>
    <n v="20"/>
    <n v="52"/>
    <n v="0"/>
    <n v="323.62"/>
    <n v="235.76"/>
    <m/>
    <n v="430.34571793331889"/>
    <n v="174.29557455563423"/>
    <n v="0"/>
    <n v="70929.08988"/>
    <n v="51672.462240000001"/>
    <n v="0"/>
    <n v="94320.592382317234"/>
    <n v="38201.058257656579"/>
  </r>
  <r>
    <s v="Sistema de Compensação"/>
    <x v="2"/>
    <x v="2"/>
    <x v="2"/>
    <x v="0"/>
    <x v="1"/>
    <x v="0"/>
    <x v="1"/>
    <x v="10"/>
    <n v="0"/>
    <n v="0"/>
    <n v="10.712999999999999"/>
    <n v="10.712999999999999"/>
    <n v="10.712999999999999"/>
    <n v="10.712999999999999"/>
    <n v="8"/>
    <x v="1"/>
    <n v="0"/>
    <n v="0"/>
    <n v="20"/>
    <n v="52"/>
    <n v="0"/>
    <n v="323.62"/>
    <n v="235.76"/>
    <m/>
    <n v="430.34571793331889"/>
    <n v="174.29557455563423"/>
    <n v="0"/>
    <n v="3466.9410599999997"/>
    <n v="2525.6968799999995"/>
    <n v="0"/>
    <n v="4610.293676219645"/>
    <n v="1867.2284902145093"/>
  </r>
  <r>
    <s v="Regular"/>
    <x v="2"/>
    <x v="2"/>
    <x v="2"/>
    <x v="0"/>
    <x v="1"/>
    <x v="0"/>
    <x v="1"/>
    <x v="11"/>
    <n v="0"/>
    <n v="0"/>
    <n v="224.46"/>
    <n v="224.46"/>
    <n v="224.46"/>
    <n v="224.46"/>
    <n v="349"/>
    <x v="1"/>
    <n v="0"/>
    <n v="0"/>
    <n v="20"/>
    <n v="52"/>
    <n v="0"/>
    <n v="323.62"/>
    <n v="235.76"/>
    <m/>
    <n v="430.34571793331889"/>
    <n v="174.29557455563423"/>
    <n v="0"/>
    <n v="72639.745200000005"/>
    <n v="52918.689599999998"/>
    <n v="0"/>
    <n v="96595.399847312758"/>
    <n v="39122.384664757665"/>
  </r>
  <r>
    <s v="Sistema de Compensação"/>
    <x v="2"/>
    <x v="2"/>
    <x v="2"/>
    <x v="0"/>
    <x v="1"/>
    <x v="0"/>
    <x v="1"/>
    <x v="11"/>
    <n v="0"/>
    <n v="0"/>
    <n v="10.497"/>
    <n v="10.497"/>
    <n v="10.497"/>
    <n v="10.497"/>
    <n v="9"/>
    <x v="1"/>
    <n v="0"/>
    <n v="0"/>
    <n v="20"/>
    <n v="52"/>
    <n v="0"/>
    <n v="323.62"/>
    <n v="235.76"/>
    <m/>
    <n v="430.34571793331889"/>
    <n v="174.29557455563423"/>
    <n v="0"/>
    <n v="3397.0391399999999"/>
    <n v="2474.7727199999999"/>
    <n v="0"/>
    <n v="4517.3390011460488"/>
    <n v="1829.5806461104926"/>
  </r>
  <r>
    <s v="Regular"/>
    <x v="3"/>
    <x v="2"/>
    <x v="1"/>
    <x v="0"/>
    <x v="1"/>
    <x v="0"/>
    <x v="1"/>
    <x v="0"/>
    <n v="0"/>
    <n v="0"/>
    <n v="118.773"/>
    <n v="118.773"/>
    <n v="118.773"/>
    <n v="118.773"/>
    <n v="124"/>
    <x v="1"/>
    <n v="0"/>
    <n v="0"/>
    <n v="26"/>
    <n v="81"/>
    <n v="0"/>
    <n v="367.75"/>
    <n v="267.91000000000003"/>
    <m/>
    <n v="457.81459354608398"/>
    <n v="185.42082399535556"/>
    <n v="0"/>
    <n v="43678.770749999996"/>
    <n v="31820.474430000002"/>
    <n v="0"/>
    <n v="54376.012719249033"/>
    <n v="22022.987528400365"/>
  </r>
  <r>
    <s v="Sistema de Compensação"/>
    <x v="3"/>
    <x v="2"/>
    <x v="1"/>
    <x v="0"/>
    <x v="1"/>
    <x v="0"/>
    <x v="1"/>
    <x v="0"/>
    <n v="0"/>
    <n v="0"/>
    <n v="10.401"/>
    <n v="10.401"/>
    <n v="10.401"/>
    <n v="10.401"/>
    <n v="5"/>
    <x v="1"/>
    <n v="0"/>
    <n v="0"/>
    <n v="26"/>
    <n v="81"/>
    <n v="0"/>
    <n v="367.75"/>
    <n v="267.91000000000003"/>
    <m/>
    <n v="457.81459354608398"/>
    <n v="185.42082399535556"/>
    <n v="0"/>
    <n v="3824.9677499999998"/>
    <n v="2786.5319100000002"/>
    <n v="0"/>
    <n v="4761.7295874728197"/>
    <n v="1928.5619903756931"/>
  </r>
  <r>
    <s v="Regular"/>
    <x v="3"/>
    <x v="2"/>
    <x v="1"/>
    <x v="0"/>
    <x v="1"/>
    <x v="0"/>
    <x v="1"/>
    <x v="1"/>
    <n v="0"/>
    <n v="0"/>
    <n v="122.55"/>
    <n v="122.55"/>
    <n v="122.55"/>
    <n v="122.55"/>
    <n v="125"/>
    <x v="1"/>
    <n v="0"/>
    <n v="0"/>
    <n v="26"/>
    <n v="81"/>
    <n v="0"/>
    <n v="367.75"/>
    <n v="267.91000000000003"/>
    <m/>
    <n v="457.81459354608398"/>
    <n v="185.42082399535556"/>
    <n v="0"/>
    <n v="45067.762499999997"/>
    <n v="32832.370500000005"/>
    <n v="0"/>
    <n v="56105.178439072588"/>
    <n v="22723.321980630823"/>
  </r>
  <r>
    <s v="Sistema de Compensação"/>
    <x v="3"/>
    <x v="2"/>
    <x v="1"/>
    <x v="0"/>
    <x v="1"/>
    <x v="0"/>
    <x v="1"/>
    <x v="1"/>
    <n v="0"/>
    <n v="0"/>
    <n v="13.31"/>
    <n v="13.31"/>
    <n v="13.31"/>
    <n v="13.31"/>
    <n v="6"/>
    <x v="1"/>
    <n v="0"/>
    <n v="0"/>
    <n v="26"/>
    <n v="81"/>
    <n v="0"/>
    <n v="367.75"/>
    <n v="267.91000000000003"/>
    <m/>
    <n v="457.81459354608398"/>
    <n v="185.42082399535556"/>
    <n v="0"/>
    <n v="4894.7525000000005"/>
    <n v="3565.8821000000003"/>
    <n v="0"/>
    <n v="6093.5122400983782"/>
    <n v="2467.9511673781826"/>
  </r>
  <r>
    <s v="Regular"/>
    <x v="3"/>
    <x v="2"/>
    <x v="1"/>
    <x v="0"/>
    <x v="1"/>
    <x v="0"/>
    <x v="1"/>
    <x v="2"/>
    <n v="0"/>
    <n v="0"/>
    <n v="148.524"/>
    <n v="148.524"/>
    <n v="148.524"/>
    <n v="148.524"/>
    <n v="125"/>
    <x v="1"/>
    <n v="0"/>
    <n v="0"/>
    <n v="26"/>
    <n v="81"/>
    <n v="0"/>
    <n v="367.75"/>
    <n v="267.91000000000003"/>
    <m/>
    <n v="457.81459354608398"/>
    <n v="185.42082399535556"/>
    <n v="0"/>
    <n v="54619.701000000001"/>
    <n v="39791.064840000006"/>
    <n v="0"/>
    <n v="67996.454691838575"/>
    <n v="27539.44246308619"/>
  </r>
  <r>
    <s v="Sistema de Compensação"/>
    <x v="3"/>
    <x v="2"/>
    <x v="1"/>
    <x v="0"/>
    <x v="1"/>
    <x v="0"/>
    <x v="1"/>
    <x v="2"/>
    <n v="0"/>
    <n v="0"/>
    <n v="10.808999999999999"/>
    <n v="10.808999999999999"/>
    <n v="10.808999999999999"/>
    <n v="10.808999999999999"/>
    <n v="7"/>
    <x v="1"/>
    <n v="0"/>
    <n v="0"/>
    <n v="26"/>
    <n v="81"/>
    <n v="0"/>
    <n v="367.75"/>
    <n v="267.91000000000003"/>
    <m/>
    <n v="457.81459354608398"/>
    <n v="185.42082399535556"/>
    <n v="0"/>
    <n v="3975.0097499999997"/>
    <n v="2895.8391900000001"/>
    <n v="0"/>
    <n v="4948.5179416396213"/>
    <n v="2004.2136865657981"/>
  </r>
  <r>
    <s v="Regular"/>
    <x v="3"/>
    <x v="2"/>
    <x v="1"/>
    <x v="0"/>
    <x v="1"/>
    <x v="0"/>
    <x v="1"/>
    <x v="3"/>
    <n v="0"/>
    <n v="0"/>
    <n v="139.43299999999999"/>
    <n v="139.43299999999999"/>
    <n v="139.43299999999999"/>
    <n v="139.43299999999999"/>
    <n v="126"/>
    <x v="1"/>
    <n v="0"/>
    <n v="0"/>
    <n v="26"/>
    <n v="81"/>
    <n v="0"/>
    <n v="367.75"/>
    <n v="267.91000000000003"/>
    <m/>
    <n v="457.81459354608398"/>
    <n v="185.42082399535556"/>
    <n v="0"/>
    <n v="51276.48575"/>
    <n v="37355.495029999998"/>
    <n v="0"/>
    <n v="63834.462221911126"/>
    <n v="25853.781752144412"/>
  </r>
  <r>
    <s v="Sistema de Compensação"/>
    <x v="3"/>
    <x v="2"/>
    <x v="1"/>
    <x v="0"/>
    <x v="1"/>
    <x v="0"/>
    <x v="1"/>
    <x v="3"/>
    <n v="0"/>
    <n v="0"/>
    <n v="9.0350000000000001"/>
    <n v="9.0350000000000001"/>
    <n v="9.0350000000000001"/>
    <n v="9.0350000000000001"/>
    <n v="7"/>
    <x v="1"/>
    <n v="0"/>
    <n v="0"/>
    <n v="26"/>
    <n v="81"/>
    <n v="0"/>
    <n v="367.75"/>
    <n v="267.91000000000003"/>
    <m/>
    <n v="457.81459354608398"/>
    <n v="185.42082399535556"/>
    <n v="0"/>
    <n v="3322.6212500000001"/>
    <n v="2420.5668500000002"/>
    <n v="0"/>
    <n v="4136.354852688869"/>
    <n v="1675.2771447980376"/>
  </r>
  <r>
    <s v="Regular"/>
    <x v="3"/>
    <x v="2"/>
    <x v="1"/>
    <x v="0"/>
    <x v="1"/>
    <x v="0"/>
    <x v="1"/>
    <x v="4"/>
    <n v="0"/>
    <n v="0"/>
    <n v="117.601"/>
    <n v="117.601"/>
    <n v="117.601"/>
    <n v="117.601"/>
    <n v="125"/>
    <x v="1"/>
    <n v="0"/>
    <n v="0"/>
    <n v="26"/>
    <n v="81"/>
    <n v="0"/>
    <n v="367.75"/>
    <n v="267.91000000000003"/>
    <m/>
    <n v="457.81459354608398"/>
    <n v="185.42082399535556"/>
    <n v="0"/>
    <n v="43247.767749999999"/>
    <n v="31506.483910000003"/>
    <n v="0"/>
    <n v="53839.454015613024"/>
    <n v="21805.674322677809"/>
  </r>
  <r>
    <s v="Sistema de Compensação"/>
    <x v="3"/>
    <x v="2"/>
    <x v="1"/>
    <x v="0"/>
    <x v="1"/>
    <x v="0"/>
    <x v="1"/>
    <x v="4"/>
    <n v="0"/>
    <n v="0"/>
    <n v="10.872"/>
    <n v="10.872"/>
    <n v="10.872"/>
    <n v="10.872"/>
    <n v="7"/>
    <x v="1"/>
    <n v="0"/>
    <n v="0"/>
    <n v="26"/>
    <n v="81"/>
    <n v="0"/>
    <n v="367.75"/>
    <n v="267.91000000000003"/>
    <m/>
    <n v="457.81459354608398"/>
    <n v="185.42082399535556"/>
    <n v="0"/>
    <n v="3998.1779999999999"/>
    <n v="2912.7175200000001"/>
    <n v="0"/>
    <n v="4977.3602610330254"/>
    <n v="2015.8951984775056"/>
  </r>
  <r>
    <s v="Regular"/>
    <x v="3"/>
    <x v="2"/>
    <x v="1"/>
    <x v="0"/>
    <x v="1"/>
    <x v="0"/>
    <x v="1"/>
    <x v="5"/>
    <n v="0"/>
    <n v="0"/>
    <n v="127.312"/>
    <n v="127.312"/>
    <n v="127.312"/>
    <n v="127.312"/>
    <n v="124"/>
    <x v="1"/>
    <n v="0"/>
    <n v="0"/>
    <n v="26"/>
    <n v="81"/>
    <n v="0"/>
    <n v="367.75"/>
    <n v="267.91000000000003"/>
    <m/>
    <n v="457.81459354608398"/>
    <n v="185.42082399535556"/>
    <n v="0"/>
    <n v="46818.987999999998"/>
    <n v="34108.157920000005"/>
    <n v="0"/>
    <n v="58285.291533539043"/>
    <n v="23606.295944496705"/>
  </r>
  <r>
    <s v="Sistema de Compensação"/>
    <x v="3"/>
    <x v="2"/>
    <x v="1"/>
    <x v="0"/>
    <x v="1"/>
    <x v="0"/>
    <x v="1"/>
    <x v="5"/>
    <n v="0"/>
    <n v="0"/>
    <n v="9.1359999999999992"/>
    <n v="9.1359999999999992"/>
    <n v="9.1359999999999992"/>
    <n v="9.1359999999999992"/>
    <n v="7"/>
    <x v="1"/>
    <n v="0"/>
    <n v="0"/>
    <n v="26"/>
    <n v="81"/>
    <n v="0"/>
    <n v="367.75"/>
    <n v="267.91000000000003"/>
    <m/>
    <n v="457.81459354608398"/>
    <n v="185.42082399535556"/>
    <n v="0"/>
    <n v="3359.7639999999997"/>
    <n v="2447.6257599999999"/>
    <n v="0"/>
    <n v="4182.5941266370228"/>
    <n v="1694.0046480215683"/>
  </r>
  <r>
    <s v="Regular"/>
    <x v="3"/>
    <x v="2"/>
    <x v="1"/>
    <x v="0"/>
    <x v="1"/>
    <x v="0"/>
    <x v="1"/>
    <x v="6"/>
    <n v="0"/>
    <n v="0"/>
    <n v="122.499"/>
    <n v="122.499"/>
    <n v="122.499"/>
    <n v="122.499"/>
    <n v="124"/>
    <x v="1"/>
    <n v="0"/>
    <n v="0"/>
    <n v="26"/>
    <n v="81"/>
    <n v="0"/>
    <n v="367.75"/>
    <n v="267.91000000000003"/>
    <m/>
    <n v="457.81459354608398"/>
    <n v="185.42082399535556"/>
    <n v="0"/>
    <n v="45049.007249999995"/>
    <n v="32818.707090000004"/>
    <n v="0"/>
    <n v="56081.82989480174"/>
    <n v="22713.865518607061"/>
  </r>
  <r>
    <s v="Sistema de Compensação"/>
    <x v="3"/>
    <x v="2"/>
    <x v="1"/>
    <x v="0"/>
    <x v="1"/>
    <x v="0"/>
    <x v="1"/>
    <x v="6"/>
    <n v="0"/>
    <n v="0"/>
    <n v="9.3260000000000005"/>
    <n v="9.3260000000000005"/>
    <n v="9.3260000000000005"/>
    <n v="9.3260000000000005"/>
    <n v="7"/>
    <x v="1"/>
    <n v="0"/>
    <n v="0"/>
    <n v="26"/>
    <n v="81"/>
    <n v="0"/>
    <n v="367.75"/>
    <n v="267.91000000000003"/>
    <m/>
    <n v="457.81459354608398"/>
    <n v="185.42082399535556"/>
    <n v="0"/>
    <n v="3429.6365000000001"/>
    <n v="2498.5286600000004"/>
    <n v="0"/>
    <n v="4269.5788994107797"/>
    <n v="1729.234604580686"/>
  </r>
  <r>
    <s v="Regular"/>
    <x v="3"/>
    <x v="2"/>
    <x v="1"/>
    <x v="0"/>
    <x v="1"/>
    <x v="0"/>
    <x v="1"/>
    <x v="7"/>
    <n v="0"/>
    <n v="0"/>
    <n v="124.28700000000001"/>
    <n v="124.28700000000001"/>
    <n v="124.28700000000001"/>
    <n v="124.28700000000001"/>
    <n v="126"/>
    <x v="1"/>
    <n v="0"/>
    <n v="0"/>
    <n v="26"/>
    <n v="81"/>
    <n v="0"/>
    <n v="367.75"/>
    <n v="267.91000000000003"/>
    <m/>
    <n v="457.81459354608398"/>
    <n v="185.42082399535556"/>
    <n v="0"/>
    <n v="45706.544249999999"/>
    <n v="33297.730170000003"/>
    <n v="0"/>
    <n v="56900.402388062146"/>
    <n v="23045.397951910756"/>
  </r>
  <r>
    <s v="Sistema de Compensação"/>
    <x v="3"/>
    <x v="2"/>
    <x v="1"/>
    <x v="0"/>
    <x v="1"/>
    <x v="0"/>
    <x v="1"/>
    <x v="7"/>
    <n v="0"/>
    <n v="0"/>
    <n v="8.6940000000000008"/>
    <n v="8.6940000000000008"/>
    <n v="8.6940000000000008"/>
    <n v="8.6940000000000008"/>
    <n v="8"/>
    <x v="1"/>
    <n v="0"/>
    <n v="0"/>
    <n v="26"/>
    <n v="81"/>
    <n v="0"/>
    <n v="367.75"/>
    <n v="267.91000000000003"/>
    <m/>
    <n v="457.81459354608398"/>
    <n v="185.42082399535556"/>
    <n v="0"/>
    <n v="3197.2185000000004"/>
    <n v="2329.2095400000003"/>
    <n v="0"/>
    <n v="3980.2400762896546"/>
    <n v="1612.0486438156215"/>
  </r>
  <r>
    <s v="Regular"/>
    <x v="3"/>
    <x v="2"/>
    <x v="1"/>
    <x v="0"/>
    <x v="1"/>
    <x v="0"/>
    <x v="1"/>
    <x v="8"/>
    <n v="0"/>
    <n v="0"/>
    <n v="116.154"/>
    <n v="116.154"/>
    <n v="116.154"/>
    <n v="116.154"/>
    <n v="126"/>
    <x v="1"/>
    <n v="0"/>
    <n v="0"/>
    <n v="26"/>
    <n v="81"/>
    <n v="0"/>
    <n v="367.75"/>
    <n v="267.91000000000003"/>
    <m/>
    <n v="457.81459354608398"/>
    <n v="185.42082399535556"/>
    <n v="0"/>
    <n v="42715.633499999996"/>
    <n v="31118.818140000003"/>
    <n v="0"/>
    <n v="53176.996298751837"/>
    <n v="21537.370390356529"/>
  </r>
  <r>
    <s v="Sistema de Compensação"/>
    <x v="3"/>
    <x v="2"/>
    <x v="1"/>
    <x v="0"/>
    <x v="1"/>
    <x v="0"/>
    <x v="1"/>
    <x v="8"/>
    <n v="0"/>
    <n v="0"/>
    <n v="7.7889999999999997"/>
    <n v="7.7889999999999997"/>
    <n v="7.7889999999999997"/>
    <n v="7.7889999999999997"/>
    <n v="9"/>
    <x v="1"/>
    <n v="0"/>
    <n v="0"/>
    <n v="26"/>
    <n v="81"/>
    <n v="0"/>
    <n v="367.75"/>
    <n v="267.91000000000003"/>
    <m/>
    <n v="457.81459354608398"/>
    <n v="185.42082399535556"/>
    <n v="0"/>
    <n v="2864.4047499999997"/>
    <n v="2086.75099"/>
    <n v="0"/>
    <n v="3565.9178691304478"/>
    <n v="1444.2427980998243"/>
  </r>
  <r>
    <s v="Regular"/>
    <x v="3"/>
    <x v="2"/>
    <x v="1"/>
    <x v="0"/>
    <x v="1"/>
    <x v="0"/>
    <x v="1"/>
    <x v="9"/>
    <n v="0"/>
    <n v="0"/>
    <n v="105.501"/>
    <n v="105.501"/>
    <n v="105.501"/>
    <n v="105.501"/>
    <n v="126"/>
    <x v="1"/>
    <n v="0"/>
    <n v="0"/>
    <n v="26"/>
    <n v="81"/>
    <n v="0"/>
    <n v="367.75"/>
    <n v="267.91000000000003"/>
    <m/>
    <n v="457.81459354608398"/>
    <n v="185.42082399535556"/>
    <n v="0"/>
    <n v="38797.992750000005"/>
    <n v="28264.772910000003"/>
    <n v="0"/>
    <n v="48299.89743370541"/>
    <n v="19562.082352334008"/>
  </r>
  <r>
    <s v="Sistema de Compensação"/>
    <x v="3"/>
    <x v="2"/>
    <x v="1"/>
    <x v="0"/>
    <x v="1"/>
    <x v="0"/>
    <x v="1"/>
    <x v="9"/>
    <n v="0"/>
    <n v="0"/>
    <n v="6.1449999999999996"/>
    <n v="6.1449999999999996"/>
    <n v="6.1449999999999996"/>
    <n v="6.1449999999999996"/>
    <n v="10"/>
    <x v="1"/>
    <n v="0"/>
    <n v="0"/>
    <n v="26"/>
    <n v="81"/>
    <n v="0"/>
    <n v="367.75"/>
    <n v="267.91000000000003"/>
    <m/>
    <n v="457.81459354608398"/>
    <n v="185.42082399535556"/>
    <n v="0"/>
    <n v="2259.82375"/>
    <n v="1646.3069500000001"/>
    <n v="0"/>
    <n v="2813.2706773406858"/>
    <n v="1139.4109634514598"/>
  </r>
  <r>
    <s v="Regular"/>
    <x v="3"/>
    <x v="2"/>
    <x v="1"/>
    <x v="0"/>
    <x v="1"/>
    <x v="0"/>
    <x v="1"/>
    <x v="10"/>
    <n v="0"/>
    <n v="0"/>
    <n v="107.13200000000001"/>
    <n v="107.13200000000001"/>
    <n v="107.13200000000001"/>
    <n v="107.13200000000001"/>
    <n v="125"/>
    <x v="1"/>
    <n v="0"/>
    <n v="0"/>
    <n v="26"/>
    <n v="81"/>
    <n v="0"/>
    <n v="367.75"/>
    <n v="267.91000000000003"/>
    <m/>
    <n v="457.81459354608398"/>
    <n v="185.42082399535556"/>
    <n v="0"/>
    <n v="39397.793000000005"/>
    <n v="28701.734120000005"/>
    <n v="0"/>
    <n v="49046.593035779071"/>
    <n v="19864.503716270432"/>
  </r>
  <r>
    <s v="Sistema de Compensação"/>
    <x v="3"/>
    <x v="2"/>
    <x v="1"/>
    <x v="0"/>
    <x v="1"/>
    <x v="0"/>
    <x v="1"/>
    <x v="10"/>
    <n v="0"/>
    <n v="0"/>
    <n v="6.8979999999999997"/>
    <n v="6.8979999999999997"/>
    <n v="6.8979999999999997"/>
    <n v="6.8979999999999997"/>
    <n v="11"/>
    <x v="1"/>
    <n v="0"/>
    <n v="0"/>
    <n v="26"/>
    <n v="81"/>
    <n v="0"/>
    <n v="367.75"/>
    <n v="267.91000000000003"/>
    <m/>
    <n v="457.81459354608398"/>
    <n v="185.42082399535556"/>
    <n v="0"/>
    <n v="2536.7394999999997"/>
    <n v="1848.0431800000001"/>
    <n v="0"/>
    <n v="3158.0050662808871"/>
    <n v="1279.0328439199627"/>
  </r>
  <r>
    <s v="Regular"/>
    <x v="3"/>
    <x v="2"/>
    <x v="1"/>
    <x v="0"/>
    <x v="1"/>
    <x v="0"/>
    <x v="1"/>
    <x v="11"/>
    <n v="0"/>
    <n v="0"/>
    <n v="153.51900000000001"/>
    <n v="153.51900000000001"/>
    <n v="153.51900000000001"/>
    <n v="153.51900000000001"/>
    <n v="126"/>
    <x v="1"/>
    <n v="0"/>
    <n v="0"/>
    <n v="26"/>
    <n v="81"/>
    <n v="0"/>
    <n v="367.75"/>
    <n v="267.91000000000003"/>
    <m/>
    <n v="457.81459354608398"/>
    <n v="185.42082399535556"/>
    <n v="0"/>
    <n v="56456.612250000006"/>
    <n v="41129.275290000005"/>
    <n v="0"/>
    <n v="70283.238586601263"/>
    <n v="28465.61947894299"/>
  </r>
  <r>
    <s v="Sistema de Compensação"/>
    <x v="3"/>
    <x v="2"/>
    <x v="1"/>
    <x v="0"/>
    <x v="1"/>
    <x v="0"/>
    <x v="1"/>
    <x v="11"/>
    <n v="0"/>
    <n v="0"/>
    <n v="4.1189999999999998"/>
    <n v="4.1189999999999998"/>
    <n v="4.1189999999999998"/>
    <n v="4.1189999999999998"/>
    <n v="11"/>
    <x v="1"/>
    <n v="0"/>
    <n v="0"/>
    <n v="26"/>
    <n v="81"/>
    <n v="0"/>
    <n v="367.75"/>
    <n v="267.91000000000003"/>
    <m/>
    <n v="457.81459354608398"/>
    <n v="185.42082399535556"/>
    <n v="0"/>
    <n v="1514.76225"/>
    <n v="1103.5212900000001"/>
    <n v="0"/>
    <n v="1885.7383108163199"/>
    <n v="763.74837403686956"/>
  </r>
  <r>
    <s v="Regular"/>
    <x v="3"/>
    <x v="2"/>
    <x v="4"/>
    <x v="0"/>
    <x v="1"/>
    <x v="0"/>
    <x v="1"/>
    <x v="0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0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1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1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2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2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3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3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4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4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5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5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6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6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7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7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8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8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9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9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10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10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4"/>
    <x v="0"/>
    <x v="1"/>
    <x v="0"/>
    <x v="1"/>
    <x v="11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Sistema de Compensação"/>
    <x v="3"/>
    <x v="2"/>
    <x v="4"/>
    <x v="0"/>
    <x v="1"/>
    <x v="0"/>
    <x v="1"/>
    <x v="11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0"/>
    <x v="0"/>
    <x v="1"/>
    <x v="0"/>
    <x v="1"/>
    <x v="0"/>
    <n v="0"/>
    <n v="0"/>
    <n v="136.107"/>
    <n v="136.107"/>
    <n v="136.107"/>
    <n v="136.107"/>
    <n v="20"/>
    <x v="1"/>
    <n v="0"/>
    <n v="0"/>
    <n v="26"/>
    <n v="81"/>
    <n v="0"/>
    <n v="367.75"/>
    <n v="267.91000000000003"/>
    <m/>
    <n v="457.81459354608398"/>
    <n v="185.42082399535556"/>
    <n v="0"/>
    <n v="50053.349249999999"/>
    <n v="36464.426370000001"/>
    <n v="0"/>
    <n v="62311.770883776851"/>
    <n v="25237.072091535858"/>
  </r>
  <r>
    <s v="Sistema de Compensação"/>
    <x v="3"/>
    <x v="2"/>
    <x v="0"/>
    <x v="0"/>
    <x v="1"/>
    <x v="0"/>
    <x v="1"/>
    <x v="0"/>
    <n v="0"/>
    <n v="0"/>
    <n v="4.835"/>
    <n v="4.835"/>
    <n v="4.835"/>
    <n v="4.835"/>
    <n v="1"/>
    <x v="1"/>
    <n v="0"/>
    <n v="0"/>
    <n v="26"/>
    <n v="81"/>
    <n v="0"/>
    <n v="367.75"/>
    <n v="267.91000000000003"/>
    <m/>
    <n v="457.81459354608398"/>
    <n v="185.42082399535556"/>
    <n v="0"/>
    <n v="1778.07125"/>
    <n v="1295.3448500000002"/>
    <n v="0"/>
    <n v="2213.5335597953163"/>
    <n v="896.50968401754415"/>
  </r>
  <r>
    <s v="Regular"/>
    <x v="3"/>
    <x v="2"/>
    <x v="0"/>
    <x v="0"/>
    <x v="1"/>
    <x v="0"/>
    <x v="1"/>
    <x v="1"/>
    <n v="0"/>
    <n v="0"/>
    <n v="30.5"/>
    <n v="30.5"/>
    <n v="30.5"/>
    <n v="30.5"/>
    <n v="19"/>
    <x v="1"/>
    <n v="0"/>
    <n v="0"/>
    <n v="26"/>
    <n v="81"/>
    <n v="0"/>
    <n v="367.75"/>
    <n v="267.91000000000003"/>
    <m/>
    <n v="457.81459354608398"/>
    <n v="185.42082399535556"/>
    <n v="0"/>
    <n v="11216.375"/>
    <n v="8171.255000000001"/>
    <n v="0"/>
    <n v="13963.345103155561"/>
    <n v="5655.3351318583445"/>
  </r>
  <r>
    <s v="Refaturamento - Regular"/>
    <x v="3"/>
    <x v="2"/>
    <x v="0"/>
    <x v="0"/>
    <x v="1"/>
    <x v="0"/>
    <x v="1"/>
    <x v="1"/>
    <n v="0"/>
    <n v="0"/>
    <n v="-99.894000000000005"/>
    <n v="-99.894000000000005"/>
    <n v="-99.894000000000005"/>
    <n v="-99.894000000000005"/>
    <n v="0"/>
    <x v="1"/>
    <n v="0"/>
    <n v="0"/>
    <n v="26"/>
    <n v="81"/>
    <n v="0"/>
    <n v="367.75"/>
    <n v="267.91000000000003"/>
    <m/>
    <n v="457.81459354608398"/>
    <n v="185.42082399535556"/>
    <n v="0"/>
    <n v="-36736.018500000006"/>
    <n v="-26762.601540000003"/>
    <n v="0"/>
    <n v="-45732.931007692518"/>
    <n v="-18522.427792192051"/>
  </r>
  <r>
    <s v="Sistema de Compensação"/>
    <x v="3"/>
    <x v="2"/>
    <x v="0"/>
    <x v="0"/>
    <x v="1"/>
    <x v="0"/>
    <x v="1"/>
    <x v="1"/>
    <n v="0"/>
    <n v="0"/>
    <n v="3.86"/>
    <n v="3.86"/>
    <n v="3.86"/>
    <n v="3.86"/>
    <n v="1"/>
    <x v="1"/>
    <n v="0"/>
    <n v="0"/>
    <n v="26"/>
    <n v="81"/>
    <n v="0"/>
    <n v="367.75"/>
    <n v="267.91000000000003"/>
    <m/>
    <n v="457.81459354608398"/>
    <n v="185.42082399535556"/>
    <n v="0"/>
    <n v="1419.5149999999999"/>
    <n v="1034.1326000000001"/>
    <n v="0"/>
    <n v="1767.1643310878842"/>
    <n v="715.72438062207243"/>
  </r>
  <r>
    <s v="Regular"/>
    <x v="3"/>
    <x v="2"/>
    <x v="0"/>
    <x v="0"/>
    <x v="1"/>
    <x v="0"/>
    <x v="1"/>
    <x v="2"/>
    <n v="0"/>
    <n v="0"/>
    <n v="26.689"/>
    <n v="26.689"/>
    <n v="26.689"/>
    <n v="26.689"/>
    <n v="19"/>
    <x v="1"/>
    <n v="0"/>
    <n v="0"/>
    <n v="26"/>
    <n v="81"/>
    <n v="0"/>
    <n v="367.75"/>
    <n v="267.91000000000003"/>
    <m/>
    <n v="457.81459354608398"/>
    <n v="185.42082399535556"/>
    <n v="0"/>
    <n v="9814.8797500000001"/>
    <n v="7150.2499900000003"/>
    <n v="0"/>
    <n v="12218.613687151435"/>
    <n v="4948.6963716120445"/>
  </r>
  <r>
    <s v="Sistema de Compensação"/>
    <x v="3"/>
    <x v="2"/>
    <x v="0"/>
    <x v="0"/>
    <x v="1"/>
    <x v="0"/>
    <x v="1"/>
    <x v="2"/>
    <n v="0"/>
    <n v="0"/>
    <n v="2.762"/>
    <n v="2.762"/>
    <n v="2.762"/>
    <n v="2.762"/>
    <n v="1"/>
    <x v="1"/>
    <n v="0"/>
    <n v="0"/>
    <n v="26"/>
    <n v="81"/>
    <n v="0"/>
    <n v="367.75"/>
    <n v="267.91000000000003"/>
    <m/>
    <n v="457.81459354608398"/>
    <n v="185.42082399535556"/>
    <n v="0"/>
    <n v="1015.7255"/>
    <n v="739.96742000000006"/>
    <n v="0"/>
    <n v="1264.4839073742839"/>
    <n v="512.13231587517203"/>
  </r>
  <r>
    <s v="Regular"/>
    <x v="3"/>
    <x v="2"/>
    <x v="0"/>
    <x v="0"/>
    <x v="1"/>
    <x v="0"/>
    <x v="1"/>
    <x v="3"/>
    <n v="0"/>
    <n v="0"/>
    <n v="27.263000000000002"/>
    <n v="27.263000000000002"/>
    <n v="27.263000000000002"/>
    <n v="27.263000000000002"/>
    <n v="19"/>
    <x v="1"/>
    <n v="0"/>
    <n v="0"/>
    <n v="26"/>
    <n v="81"/>
    <n v="0"/>
    <n v="367.75"/>
    <n v="267.91000000000003"/>
    <m/>
    <n v="457.81459354608398"/>
    <n v="185.42082399535556"/>
    <n v="0"/>
    <n v="10025.96825"/>
    <n v="7304.0303300000014"/>
    <n v="0"/>
    <n v="12481.399263846888"/>
    <n v="5055.1279245853793"/>
  </r>
  <r>
    <s v="Sistema de Compensação"/>
    <x v="3"/>
    <x v="2"/>
    <x v="0"/>
    <x v="0"/>
    <x v="1"/>
    <x v="0"/>
    <x v="1"/>
    <x v="3"/>
    <n v="0"/>
    <n v="0"/>
    <n v="2.8210000000000002"/>
    <n v="2.8210000000000002"/>
    <n v="2.8210000000000002"/>
    <n v="2.8210000000000002"/>
    <n v="1"/>
    <x v="1"/>
    <n v="0"/>
    <n v="0"/>
    <n v="26"/>
    <n v="81"/>
    <n v="0"/>
    <n v="367.75"/>
    <n v="267.91000000000003"/>
    <m/>
    <n v="457.81459354608398"/>
    <n v="185.42082399535556"/>
    <n v="0"/>
    <n v="1037.42275"/>
    <n v="755.77411000000006"/>
    <n v="0"/>
    <n v="1291.4949683935031"/>
    <n v="523.07214449089804"/>
  </r>
  <r>
    <s v="Regular"/>
    <x v="3"/>
    <x v="2"/>
    <x v="0"/>
    <x v="0"/>
    <x v="1"/>
    <x v="0"/>
    <x v="1"/>
    <x v="4"/>
    <n v="0"/>
    <n v="0"/>
    <n v="20.204999999999998"/>
    <n v="20.204999999999998"/>
    <n v="20.204999999999998"/>
    <n v="20.204999999999998"/>
    <n v="19"/>
    <x v="1"/>
    <n v="0"/>
    <n v="0"/>
    <n v="26"/>
    <n v="81"/>
    <n v="0"/>
    <n v="367.75"/>
    <n v="267.91000000000003"/>
    <m/>
    <n v="457.81459354608398"/>
    <n v="185.42082399535556"/>
    <n v="0"/>
    <n v="7430.3887499999992"/>
    <n v="5413.1215499999998"/>
    <n v="0"/>
    <n v="9250.1438625986266"/>
    <n v="3746.4277488261587"/>
  </r>
  <r>
    <s v="Sistema de Compensação"/>
    <x v="3"/>
    <x v="2"/>
    <x v="0"/>
    <x v="0"/>
    <x v="1"/>
    <x v="0"/>
    <x v="1"/>
    <x v="4"/>
    <n v="0"/>
    <n v="0"/>
    <n v="0.1"/>
    <n v="0.1"/>
    <n v="0.1"/>
    <n v="0.1"/>
    <n v="1"/>
    <x v="1"/>
    <n v="0"/>
    <n v="0"/>
    <n v="26"/>
    <n v="81"/>
    <n v="0"/>
    <n v="367.75"/>
    <n v="267.91000000000003"/>
    <m/>
    <n v="457.81459354608398"/>
    <n v="185.42082399535556"/>
    <n v="0"/>
    <n v="36.774999999999999"/>
    <n v="26.791000000000004"/>
    <n v="0"/>
    <n v="45.781459354608401"/>
    <n v="18.542082399535555"/>
  </r>
  <r>
    <s v="Regular"/>
    <x v="3"/>
    <x v="2"/>
    <x v="0"/>
    <x v="0"/>
    <x v="1"/>
    <x v="0"/>
    <x v="1"/>
    <x v="5"/>
    <n v="0"/>
    <n v="0"/>
    <n v="22.268000000000001"/>
    <n v="22.268000000000001"/>
    <n v="22.268000000000001"/>
    <n v="22.268000000000001"/>
    <n v="19"/>
    <x v="1"/>
    <n v="0"/>
    <n v="0"/>
    <n v="26"/>
    <n v="81"/>
    <n v="0"/>
    <n v="367.75"/>
    <n v="267.91000000000003"/>
    <m/>
    <n v="457.81459354608398"/>
    <n v="185.42082399535556"/>
    <n v="0"/>
    <n v="8189.0570000000007"/>
    <n v="5965.8198800000009"/>
    <n v="0"/>
    <n v="10194.615369084198"/>
    <n v="4128.9509087285778"/>
  </r>
  <r>
    <s v="Sistema de Compensação"/>
    <x v="3"/>
    <x v="2"/>
    <x v="0"/>
    <x v="0"/>
    <x v="1"/>
    <x v="0"/>
    <x v="1"/>
    <x v="5"/>
    <n v="0"/>
    <n v="0"/>
    <n v="1.992"/>
    <n v="1.992"/>
    <n v="1.992"/>
    <n v="1.992"/>
    <n v="1"/>
    <x v="1"/>
    <n v="0"/>
    <n v="0"/>
    <n v="26"/>
    <n v="81"/>
    <n v="0"/>
    <n v="367.75"/>
    <n v="267.91000000000003"/>
    <m/>
    <n v="457.81459354608398"/>
    <n v="185.42082399535556"/>
    <n v="0"/>
    <n v="732.55799999999999"/>
    <n v="533.67672000000005"/>
    <n v="0"/>
    <n v="911.96667034379925"/>
    <n v="369.35828139874826"/>
  </r>
  <r>
    <s v="Regular"/>
    <x v="3"/>
    <x v="2"/>
    <x v="0"/>
    <x v="0"/>
    <x v="1"/>
    <x v="0"/>
    <x v="1"/>
    <x v="6"/>
    <n v="0"/>
    <n v="0"/>
    <n v="23.939"/>
    <n v="23.939"/>
    <n v="23.939"/>
    <n v="23.939"/>
    <n v="19"/>
    <x v="1"/>
    <n v="0"/>
    <n v="0"/>
    <n v="26"/>
    <n v="81"/>
    <n v="0"/>
    <n v="367.75"/>
    <n v="267.91000000000003"/>
    <m/>
    <n v="457.81459354608398"/>
    <n v="185.42082399535556"/>
    <n v="0"/>
    <n v="8803.5672500000001"/>
    <n v="6413.4974900000007"/>
    <n v="0"/>
    <n v="10959.623554899705"/>
    <n v="4438.7891056248172"/>
  </r>
  <r>
    <s v="Sistema de Compensação"/>
    <x v="3"/>
    <x v="2"/>
    <x v="0"/>
    <x v="0"/>
    <x v="1"/>
    <x v="0"/>
    <x v="1"/>
    <x v="6"/>
    <n v="0"/>
    <n v="0"/>
    <n v="3.339"/>
    <n v="3.339"/>
    <n v="3.339"/>
    <n v="3.339"/>
    <n v="1"/>
    <x v="1"/>
    <n v="0"/>
    <n v="0"/>
    <n v="26"/>
    <n v="81"/>
    <n v="0"/>
    <n v="367.75"/>
    <n v="267.91000000000003"/>
    <m/>
    <n v="457.81459354608398"/>
    <n v="185.42082399535556"/>
    <n v="0"/>
    <n v="1227.91725"/>
    <n v="894.55149000000006"/>
    <n v="0"/>
    <n v="1528.6429278503745"/>
    <n v="619.12013132049219"/>
  </r>
  <r>
    <s v="Regular"/>
    <x v="3"/>
    <x v="2"/>
    <x v="0"/>
    <x v="0"/>
    <x v="1"/>
    <x v="0"/>
    <x v="1"/>
    <x v="7"/>
    <n v="0"/>
    <n v="0"/>
    <n v="25.975999999999999"/>
    <n v="25.975999999999999"/>
    <n v="25.975999999999999"/>
    <n v="25.975999999999999"/>
    <n v="19"/>
    <x v="1"/>
    <n v="0"/>
    <n v="0"/>
    <n v="26"/>
    <n v="81"/>
    <n v="0"/>
    <n v="367.75"/>
    <n v="267.91000000000003"/>
    <m/>
    <n v="457.81459354608398"/>
    <n v="185.42082399535556"/>
    <n v="0"/>
    <n v="9552.6739999999991"/>
    <n v="6959.2301600000001"/>
    <n v="0"/>
    <n v="11892.191881953077"/>
    <n v="4816.4913241033555"/>
  </r>
  <r>
    <s v="Sistema de Compensação"/>
    <x v="3"/>
    <x v="2"/>
    <x v="0"/>
    <x v="0"/>
    <x v="1"/>
    <x v="0"/>
    <x v="1"/>
    <x v="7"/>
    <n v="0"/>
    <n v="0"/>
    <n v="4.173"/>
    <n v="4.173"/>
    <n v="4.173"/>
    <n v="4.173"/>
    <n v="1"/>
    <x v="1"/>
    <n v="0"/>
    <n v="0"/>
    <n v="26"/>
    <n v="81"/>
    <n v="0"/>
    <n v="367.75"/>
    <n v="267.91000000000003"/>
    <m/>
    <n v="457.81459354608398"/>
    <n v="185.42082399535556"/>
    <n v="0"/>
    <n v="1534.62075"/>
    <n v="1117.9884300000001"/>
    <n v="0"/>
    <n v="1910.4602988678084"/>
    <n v="773.7610985326188"/>
  </r>
  <r>
    <s v="Regular"/>
    <x v="3"/>
    <x v="2"/>
    <x v="0"/>
    <x v="0"/>
    <x v="1"/>
    <x v="0"/>
    <x v="1"/>
    <x v="8"/>
    <n v="0"/>
    <n v="0"/>
    <n v="23.803999999999998"/>
    <n v="23.803999999999998"/>
    <n v="23.803999999999998"/>
    <n v="23.803999999999998"/>
    <n v="19"/>
    <x v="1"/>
    <n v="0"/>
    <n v="0"/>
    <n v="26"/>
    <n v="81"/>
    <n v="0"/>
    <n v="367.75"/>
    <n v="267.91000000000003"/>
    <m/>
    <n v="457.81459354608398"/>
    <n v="185.42082399535556"/>
    <n v="0"/>
    <n v="8753.9210000000003"/>
    <n v="6377.3296399999999"/>
    <n v="0"/>
    <n v="10897.818584770983"/>
    <n v="4413.7572943854439"/>
  </r>
  <r>
    <s v="Sistema de Compensação"/>
    <x v="3"/>
    <x v="2"/>
    <x v="0"/>
    <x v="0"/>
    <x v="1"/>
    <x v="0"/>
    <x v="1"/>
    <x v="8"/>
    <n v="0"/>
    <n v="0"/>
    <n v="2.165"/>
    <n v="2.165"/>
    <n v="2.165"/>
    <n v="2.165"/>
    <n v="1"/>
    <x v="1"/>
    <n v="0"/>
    <n v="0"/>
    <n v="26"/>
    <n v="81"/>
    <n v="0"/>
    <n v="367.75"/>
    <n v="267.91000000000003"/>
    <m/>
    <n v="457.81459354608398"/>
    <n v="185.42082399535556"/>
    <n v="0"/>
    <n v="796.17875000000004"/>
    <n v="580.02515000000005"/>
    <n v="0"/>
    <n v="991.16859502727186"/>
    <n v="401.43608394994482"/>
  </r>
  <r>
    <s v="Regular"/>
    <x v="3"/>
    <x v="2"/>
    <x v="0"/>
    <x v="0"/>
    <x v="1"/>
    <x v="0"/>
    <x v="1"/>
    <x v="9"/>
    <n v="0"/>
    <n v="0"/>
    <n v="26.373999999999999"/>
    <n v="26.373999999999999"/>
    <n v="26.373999999999999"/>
    <n v="26.373999999999999"/>
    <n v="19"/>
    <x v="1"/>
    <n v="0"/>
    <n v="0"/>
    <n v="26"/>
    <n v="81"/>
    <n v="0"/>
    <n v="367.75"/>
    <n v="267.91000000000003"/>
    <m/>
    <n v="457.81459354608398"/>
    <n v="185.42082399535556"/>
    <n v="0"/>
    <n v="9699.0384999999987"/>
    <n v="7065.8583400000007"/>
    <n v="0"/>
    <n v="12074.402090184418"/>
    <n v="4890.2888120535072"/>
  </r>
  <r>
    <s v="Sistema de Compensação"/>
    <x v="3"/>
    <x v="2"/>
    <x v="0"/>
    <x v="0"/>
    <x v="1"/>
    <x v="0"/>
    <x v="1"/>
    <x v="9"/>
    <n v="0"/>
    <n v="0"/>
    <n v="2.226"/>
    <n v="2.226"/>
    <n v="2.226"/>
    <n v="2.226"/>
    <n v="1"/>
    <x v="1"/>
    <n v="0"/>
    <n v="0"/>
    <n v="26"/>
    <n v="81"/>
    <n v="0"/>
    <n v="367.75"/>
    <n v="267.91000000000003"/>
    <m/>
    <n v="457.81459354608398"/>
    <n v="185.42082399535556"/>
    <n v="0"/>
    <n v="818.61149999999998"/>
    <n v="596.36766"/>
    <n v="0"/>
    <n v="1019.0952852335829"/>
    <n v="412.74675421366146"/>
  </r>
  <r>
    <s v="Regular"/>
    <x v="3"/>
    <x v="2"/>
    <x v="0"/>
    <x v="0"/>
    <x v="1"/>
    <x v="0"/>
    <x v="1"/>
    <x v="10"/>
    <n v="0"/>
    <n v="0"/>
    <n v="23.061"/>
    <n v="23.061"/>
    <n v="23.061"/>
    <n v="23.061"/>
    <n v="20"/>
    <x v="1"/>
    <n v="0"/>
    <n v="0"/>
    <n v="26"/>
    <n v="81"/>
    <n v="0"/>
    <n v="367.75"/>
    <n v="267.91000000000003"/>
    <m/>
    <n v="457.81459354608398"/>
    <n v="185.42082399535556"/>
    <n v="0"/>
    <n v="8480.6827499999999"/>
    <n v="6178.2725100000007"/>
    <n v="0"/>
    <n v="10557.662341766243"/>
    <n v="4275.9896221568943"/>
  </r>
  <r>
    <s v="Sistema de Compensação"/>
    <x v="3"/>
    <x v="2"/>
    <x v="0"/>
    <x v="0"/>
    <x v="1"/>
    <x v="0"/>
    <x v="1"/>
    <x v="10"/>
    <n v="0"/>
    <n v="0"/>
    <n v="3.1360000000000001"/>
    <n v="3.1360000000000001"/>
    <n v="3.1360000000000001"/>
    <n v="3.1360000000000001"/>
    <n v="1"/>
    <x v="1"/>
    <n v="0"/>
    <n v="0"/>
    <n v="26"/>
    <n v="81"/>
    <n v="0"/>
    <n v="367.75"/>
    <n v="267.91000000000003"/>
    <m/>
    <n v="457.81459354608398"/>
    <n v="185.42082399535556"/>
    <n v="0"/>
    <n v="1153.2640000000001"/>
    <n v="840.16576000000009"/>
    <n v="0"/>
    <n v="1435.7065653605193"/>
    <n v="581.4797040494351"/>
  </r>
  <r>
    <s v="Regular"/>
    <x v="3"/>
    <x v="2"/>
    <x v="0"/>
    <x v="0"/>
    <x v="1"/>
    <x v="0"/>
    <x v="1"/>
    <x v="11"/>
    <n v="0"/>
    <n v="0"/>
    <n v="22.222000000000001"/>
    <n v="22.222000000000001"/>
    <n v="22.222000000000001"/>
    <n v="22.222000000000001"/>
    <n v="20"/>
    <x v="1"/>
    <n v="0"/>
    <n v="0"/>
    <n v="26"/>
    <n v="81"/>
    <n v="0"/>
    <n v="367.75"/>
    <n v="267.91000000000003"/>
    <m/>
    <n v="457.81459354608398"/>
    <n v="185.42082399535556"/>
    <n v="0"/>
    <n v="8172.1405000000004"/>
    <n v="5953.4960200000005"/>
    <n v="0"/>
    <n v="10173.55589778108"/>
    <n v="4120.4215508247917"/>
  </r>
  <r>
    <s v="Sistema de Compensação"/>
    <x v="3"/>
    <x v="2"/>
    <x v="0"/>
    <x v="0"/>
    <x v="1"/>
    <x v="0"/>
    <x v="1"/>
    <x v="11"/>
    <n v="0"/>
    <n v="0"/>
    <n v="2.8940000000000001"/>
    <n v="2.8940000000000001"/>
    <n v="2.8940000000000001"/>
    <n v="2.8940000000000001"/>
    <n v="1"/>
    <x v="1"/>
    <n v="0"/>
    <n v="0"/>
    <n v="26"/>
    <n v="81"/>
    <n v="0"/>
    <n v="367.75"/>
    <n v="267.91000000000003"/>
    <m/>
    <n v="457.81459354608398"/>
    <n v="185.42082399535556"/>
    <n v="0"/>
    <n v="1064.2685000000001"/>
    <n v="775.33154000000013"/>
    <n v="0"/>
    <n v="1324.9154337223672"/>
    <n v="536.60786464255898"/>
  </r>
  <r>
    <s v="Regular"/>
    <x v="3"/>
    <x v="2"/>
    <x v="5"/>
    <x v="0"/>
    <x v="1"/>
    <x v="0"/>
    <x v="1"/>
    <x v="0"/>
    <n v="0"/>
    <n v="0"/>
    <n v="2.6970000000000001"/>
    <n v="2.6970000000000001"/>
    <n v="2.6970000000000001"/>
    <n v="2.6970000000000001"/>
    <n v="11"/>
    <x v="1"/>
    <n v="0"/>
    <n v="0"/>
    <n v="26"/>
    <n v="81"/>
    <n v="0"/>
    <n v="367.75"/>
    <n v="267.91000000000003"/>
    <m/>
    <n v="457.81459354608398"/>
    <n v="185.42082399535556"/>
    <n v="0"/>
    <n v="991.82175000000007"/>
    <n v="722.55327000000011"/>
    <n v="0"/>
    <n v="1234.7259587937885"/>
    <n v="500.07996231547395"/>
  </r>
  <r>
    <s v="Regular"/>
    <x v="3"/>
    <x v="2"/>
    <x v="5"/>
    <x v="0"/>
    <x v="1"/>
    <x v="0"/>
    <x v="1"/>
    <x v="1"/>
    <n v="0"/>
    <n v="0"/>
    <n v="3.528"/>
    <n v="3.528"/>
    <n v="3.528"/>
    <n v="3.528"/>
    <n v="10"/>
    <x v="1"/>
    <n v="0"/>
    <n v="0"/>
    <n v="26"/>
    <n v="81"/>
    <n v="0"/>
    <n v="367.75"/>
    <n v="267.91000000000003"/>
    <m/>
    <n v="457.81459354608398"/>
    <n v="185.42082399535556"/>
    <n v="0"/>
    <n v="1297.422"/>
    <n v="945.18648000000007"/>
    <n v="0"/>
    <n v="1615.1698860305844"/>
    <n v="654.16466705561447"/>
  </r>
  <r>
    <s v="Regular"/>
    <x v="3"/>
    <x v="2"/>
    <x v="5"/>
    <x v="0"/>
    <x v="1"/>
    <x v="0"/>
    <x v="1"/>
    <x v="2"/>
    <n v="0"/>
    <n v="0"/>
    <n v="3.2440000000000002"/>
    <n v="3.2440000000000002"/>
    <n v="3.2440000000000002"/>
    <n v="3.2440000000000002"/>
    <n v="10"/>
    <x v="1"/>
    <n v="0"/>
    <n v="0"/>
    <n v="26"/>
    <n v="81"/>
    <n v="0"/>
    <n v="367.75"/>
    <n v="267.91000000000003"/>
    <m/>
    <n v="457.81459354608398"/>
    <n v="185.42082399535556"/>
    <n v="0"/>
    <n v="1192.981"/>
    <n v="869.10004000000015"/>
    <n v="0"/>
    <n v="1485.1505414634964"/>
    <n v="601.50515304093346"/>
  </r>
  <r>
    <s v="Regular"/>
    <x v="3"/>
    <x v="2"/>
    <x v="5"/>
    <x v="0"/>
    <x v="1"/>
    <x v="0"/>
    <x v="1"/>
    <x v="3"/>
    <n v="0"/>
    <n v="0"/>
    <n v="4.3159999999999998"/>
    <n v="4.3159999999999998"/>
    <n v="4.3159999999999998"/>
    <n v="4.3159999999999998"/>
    <n v="10"/>
    <x v="1"/>
    <n v="0"/>
    <n v="0"/>
    <n v="26"/>
    <n v="81"/>
    <n v="0"/>
    <n v="367.75"/>
    <n v="267.91000000000003"/>
    <m/>
    <n v="457.81459354608398"/>
    <n v="185.42082399535556"/>
    <n v="0"/>
    <n v="1587.2089999999998"/>
    <n v="1156.2995600000002"/>
    <n v="0"/>
    <n v="1975.9277857448983"/>
    <n v="800.27627636395459"/>
  </r>
  <r>
    <s v="Regular"/>
    <x v="3"/>
    <x v="2"/>
    <x v="5"/>
    <x v="0"/>
    <x v="1"/>
    <x v="0"/>
    <x v="1"/>
    <x v="4"/>
    <n v="0"/>
    <n v="0"/>
    <n v="3.3170000000000002"/>
    <n v="3.3170000000000002"/>
    <n v="3.3170000000000002"/>
    <n v="3.3170000000000002"/>
    <n v="10"/>
    <x v="1"/>
    <n v="0"/>
    <n v="0"/>
    <n v="26"/>
    <n v="81"/>
    <n v="0"/>
    <n v="367.75"/>
    <n v="267.91000000000003"/>
    <m/>
    <n v="457.81459354608398"/>
    <n v="185.42082399535556"/>
    <n v="0"/>
    <n v="1219.8267500000002"/>
    <n v="888.6574700000001"/>
    <n v="0"/>
    <n v="1518.5710067923605"/>
    <n v="615.0408731925944"/>
  </r>
  <r>
    <s v="Regular"/>
    <x v="3"/>
    <x v="2"/>
    <x v="5"/>
    <x v="0"/>
    <x v="1"/>
    <x v="0"/>
    <x v="1"/>
    <x v="5"/>
    <n v="0"/>
    <n v="0"/>
    <n v="3.4630000000000001"/>
    <n v="3.4630000000000001"/>
    <n v="3.4630000000000001"/>
    <n v="3.4630000000000001"/>
    <n v="10"/>
    <x v="1"/>
    <n v="0"/>
    <n v="0"/>
    <n v="26"/>
    <n v="81"/>
    <n v="0"/>
    <n v="367.75"/>
    <n v="267.91000000000003"/>
    <m/>
    <n v="457.81459354608398"/>
    <n v="185.42082399535556"/>
    <n v="0"/>
    <n v="1273.5182500000001"/>
    <n v="927.77233000000012"/>
    <n v="0"/>
    <n v="1585.4119374500888"/>
    <n v="642.11231349591628"/>
  </r>
  <r>
    <s v="Regular"/>
    <x v="3"/>
    <x v="2"/>
    <x v="5"/>
    <x v="0"/>
    <x v="1"/>
    <x v="0"/>
    <x v="1"/>
    <x v="6"/>
    <n v="0"/>
    <n v="0"/>
    <n v="5.258"/>
    <n v="5.258"/>
    <n v="5.258"/>
    <n v="5.258"/>
    <n v="10"/>
    <x v="1"/>
    <n v="0"/>
    <n v="0"/>
    <n v="26"/>
    <n v="81"/>
    <n v="0"/>
    <n v="367.75"/>
    <n v="267.91000000000003"/>
    <m/>
    <n v="457.81459354608398"/>
    <n v="185.42082399535556"/>
    <n v="0"/>
    <n v="1933.6295"/>
    <n v="1408.6707800000001"/>
    <n v="0"/>
    <n v="2407.1891328653096"/>
    <n v="974.94269256757957"/>
  </r>
  <r>
    <s v="Regular"/>
    <x v="3"/>
    <x v="2"/>
    <x v="5"/>
    <x v="0"/>
    <x v="1"/>
    <x v="0"/>
    <x v="1"/>
    <x v="7"/>
    <n v="0"/>
    <n v="0"/>
    <n v="5.5819999999999999"/>
    <n v="5.5819999999999999"/>
    <n v="5.5819999999999999"/>
    <n v="5.5819999999999999"/>
    <n v="10"/>
    <x v="1"/>
    <n v="0"/>
    <n v="0"/>
    <n v="26"/>
    <n v="81"/>
    <n v="0"/>
    <n v="367.75"/>
    <n v="267.91000000000003"/>
    <m/>
    <n v="457.81459354608398"/>
    <n v="185.42082399535556"/>
    <n v="0"/>
    <n v="2052.7804999999998"/>
    <n v="1495.4736200000002"/>
    <n v="0"/>
    <n v="2555.5210611742409"/>
    <n v="1035.0190395420748"/>
  </r>
  <r>
    <s v="Regular"/>
    <x v="3"/>
    <x v="2"/>
    <x v="5"/>
    <x v="0"/>
    <x v="1"/>
    <x v="0"/>
    <x v="1"/>
    <x v="8"/>
    <n v="0"/>
    <n v="0"/>
    <n v="4.87"/>
    <n v="4.87"/>
    <n v="4.87"/>
    <n v="4.87"/>
    <n v="10"/>
    <x v="1"/>
    <n v="0"/>
    <n v="0"/>
    <n v="26"/>
    <n v="81"/>
    <n v="0"/>
    <n v="367.75"/>
    <n v="267.91000000000003"/>
    <m/>
    <n v="457.81459354608398"/>
    <n v="185.42082399535556"/>
    <n v="0"/>
    <n v="1790.9425000000001"/>
    <n v="1304.7217000000001"/>
    <n v="0"/>
    <n v="2229.557070569429"/>
    <n v="902.99941285738157"/>
  </r>
  <r>
    <s v="Regular"/>
    <x v="3"/>
    <x v="2"/>
    <x v="5"/>
    <x v="0"/>
    <x v="1"/>
    <x v="0"/>
    <x v="1"/>
    <x v="9"/>
    <n v="0"/>
    <n v="0"/>
    <n v="4.2720000000000002"/>
    <n v="4.2720000000000002"/>
    <n v="4.2720000000000002"/>
    <n v="4.2720000000000002"/>
    <n v="10"/>
    <x v="1"/>
    <n v="0"/>
    <n v="0"/>
    <n v="26"/>
    <n v="81"/>
    <n v="0"/>
    <n v="367.75"/>
    <n v="267.91000000000003"/>
    <m/>
    <n v="457.81459354608398"/>
    <n v="185.42082399535556"/>
    <n v="0"/>
    <n v="1571.028"/>
    <n v="1144.5115200000002"/>
    <n v="0"/>
    <n v="1955.7839436288709"/>
    <n v="792.11776010815902"/>
  </r>
  <r>
    <s v="Regular"/>
    <x v="3"/>
    <x v="2"/>
    <x v="5"/>
    <x v="0"/>
    <x v="1"/>
    <x v="0"/>
    <x v="1"/>
    <x v="10"/>
    <n v="0"/>
    <n v="0"/>
    <n v="4.202"/>
    <n v="4.202"/>
    <n v="4.202"/>
    <n v="4.202"/>
    <n v="10"/>
    <x v="1"/>
    <n v="0"/>
    <n v="0"/>
    <n v="26"/>
    <n v="81"/>
    <n v="0"/>
    <n v="367.75"/>
    <n v="267.91000000000003"/>
    <m/>
    <n v="457.81459354608398"/>
    <n v="185.42082399535556"/>
    <n v="0"/>
    <n v="1545.2855"/>
    <n v="1125.75782"/>
    <n v="0"/>
    <n v="1923.7369220806449"/>
    <n v="779.13830242848405"/>
  </r>
  <r>
    <s v="Regular"/>
    <x v="3"/>
    <x v="2"/>
    <x v="5"/>
    <x v="0"/>
    <x v="1"/>
    <x v="0"/>
    <x v="1"/>
    <x v="11"/>
    <n v="0"/>
    <n v="0"/>
    <n v="3.2839999999999998"/>
    <n v="3.2839999999999998"/>
    <n v="3.2839999999999998"/>
    <n v="3.2839999999999998"/>
    <n v="10"/>
    <x v="1"/>
    <n v="0"/>
    <n v="0"/>
    <n v="26"/>
    <n v="81"/>
    <n v="0"/>
    <n v="367.75"/>
    <n v="267.91000000000003"/>
    <m/>
    <n v="457.81459354608398"/>
    <n v="185.42082399535556"/>
    <n v="0"/>
    <n v="1207.691"/>
    <n v="879.81644000000006"/>
    <n v="0"/>
    <n v="1503.4631252053398"/>
    <n v="608.92198600074767"/>
  </r>
  <r>
    <s v="Regular"/>
    <x v="3"/>
    <x v="2"/>
    <x v="6"/>
    <x v="8"/>
    <x v="1"/>
    <x v="0"/>
    <x v="1"/>
    <x v="0"/>
    <n v="0"/>
    <n v="0"/>
    <n v="17.684000000000001"/>
    <n v="16.622959999999999"/>
    <n v="17.684000000000001"/>
    <n v="16.622959999999999"/>
    <n v="5"/>
    <x v="1"/>
    <n v="0"/>
    <n v="0"/>
    <n v="26"/>
    <n v="81"/>
    <n v="0"/>
    <n v="367.75"/>
    <n v="267.91000000000003"/>
    <m/>
    <n v="457.81459354608398"/>
    <n v="185.42082399535556"/>
    <n v="0"/>
    <n v="6113.0935399999998"/>
    <n v="4453.4572136000006"/>
    <n v="0"/>
    <n v="7610.2336759328118"/>
    <n v="3082.2429404418353"/>
  </r>
  <r>
    <s v="Regular"/>
    <x v="3"/>
    <x v="2"/>
    <x v="6"/>
    <x v="8"/>
    <x v="1"/>
    <x v="0"/>
    <x v="1"/>
    <x v="1"/>
    <n v="0"/>
    <n v="0"/>
    <n v="15.346"/>
    <n v="14.425239999999999"/>
    <n v="15.346"/>
    <n v="14.425239999999999"/>
    <n v="5"/>
    <x v="1"/>
    <n v="0"/>
    <n v="0"/>
    <n v="26"/>
    <n v="81"/>
    <n v="0"/>
    <n v="367.75"/>
    <n v="267.91000000000003"/>
    <m/>
    <n v="457.81459354608398"/>
    <n v="185.42082399535556"/>
    <n v="0"/>
    <n v="5304.8820099999994"/>
    <n v="3864.6660483999999"/>
    <n v="0"/>
    <n v="6604.0853874047116"/>
    <n v="2674.7398871307628"/>
  </r>
  <r>
    <s v="Regular"/>
    <x v="3"/>
    <x v="2"/>
    <x v="6"/>
    <x v="8"/>
    <x v="1"/>
    <x v="0"/>
    <x v="1"/>
    <x v="2"/>
    <n v="0"/>
    <n v="0"/>
    <n v="14.811"/>
    <n v="13.92234"/>
    <n v="14.811"/>
    <n v="13.92234"/>
    <n v="5"/>
    <x v="1"/>
    <n v="0"/>
    <n v="0"/>
    <n v="26"/>
    <n v="81"/>
    <n v="0"/>
    <n v="367.75"/>
    <n v="267.91000000000003"/>
    <m/>
    <n v="457.81459354608398"/>
    <n v="185.42082399535556"/>
    <n v="0"/>
    <n v="5119.9405349999997"/>
    <n v="3729.9341094000006"/>
    <n v="0"/>
    <n v="6373.8504283103866"/>
    <n v="2581.4917547434984"/>
  </r>
  <r>
    <s v="Regular"/>
    <x v="3"/>
    <x v="2"/>
    <x v="6"/>
    <x v="8"/>
    <x v="1"/>
    <x v="0"/>
    <x v="1"/>
    <x v="3"/>
    <n v="0"/>
    <n v="0"/>
    <n v="16.407"/>
    <n v="15.42258"/>
    <n v="16.407"/>
    <n v="15.42258"/>
    <n v="5"/>
    <x v="1"/>
    <n v="0"/>
    <n v="0"/>
    <n v="26"/>
    <n v="81"/>
    <n v="0"/>
    <n v="367.75"/>
    <n v="267.91000000000003"/>
    <m/>
    <n v="457.81459354608398"/>
    <n v="185.42082399535556"/>
    <n v="0"/>
    <n v="5671.6537950000002"/>
    <n v="4131.8634078000005"/>
    <n v="0"/>
    <n v="7060.682194131964"/>
    <n v="2859.6674917342907"/>
  </r>
  <r>
    <s v="Regular"/>
    <x v="3"/>
    <x v="2"/>
    <x v="6"/>
    <x v="8"/>
    <x v="1"/>
    <x v="0"/>
    <x v="1"/>
    <x v="4"/>
    <n v="0"/>
    <n v="0"/>
    <n v="16.094000000000001"/>
    <n v="15.128360000000001"/>
    <n v="16.094000000000001"/>
    <n v="15.128360000000001"/>
    <n v="5"/>
    <x v="1"/>
    <n v="0"/>
    <n v="0"/>
    <n v="26"/>
    <n v="81"/>
    <n v="0"/>
    <n v="367.75"/>
    <n v="267.91000000000003"/>
    <m/>
    <n v="457.81459354608398"/>
    <n v="185.42082399535556"/>
    <n v="0"/>
    <n v="5563.4543899999999"/>
    <n v="4053.0389276000005"/>
    <n v="0"/>
    <n v="6925.9839844188355"/>
    <n v="2805.1129768983774"/>
  </r>
  <r>
    <s v="Regular"/>
    <x v="3"/>
    <x v="2"/>
    <x v="6"/>
    <x v="8"/>
    <x v="1"/>
    <x v="0"/>
    <x v="1"/>
    <x v="5"/>
    <n v="0"/>
    <n v="0"/>
    <n v="17.323"/>
    <n v="16.283619999999999"/>
    <n v="17.323"/>
    <n v="16.283619999999999"/>
    <n v="5"/>
    <x v="1"/>
    <n v="0"/>
    <n v="0"/>
    <n v="26"/>
    <n v="81"/>
    <n v="0"/>
    <n v="367.75"/>
    <n v="267.91000000000003"/>
    <m/>
    <n v="457.81459354608398"/>
    <n v="185.42082399535556"/>
    <n v="0"/>
    <n v="5988.3012549999994"/>
    <n v="4362.5446342000005"/>
    <n v="0"/>
    <n v="7454.8788717588841"/>
    <n v="3019.3222380272514"/>
  </r>
  <r>
    <s v="Regular"/>
    <x v="3"/>
    <x v="2"/>
    <x v="6"/>
    <x v="8"/>
    <x v="1"/>
    <x v="0"/>
    <x v="1"/>
    <x v="6"/>
    <n v="0"/>
    <n v="0"/>
    <n v="17.771999999999998"/>
    <n v="16.705680000000001"/>
    <n v="17.771999999999998"/>
    <n v="16.705680000000001"/>
    <n v="5"/>
    <x v="1"/>
    <n v="0"/>
    <n v="0"/>
    <n v="26"/>
    <n v="81"/>
    <n v="0"/>
    <n v="367.75"/>
    <n v="267.91000000000003"/>
    <m/>
    <n v="457.81459354608398"/>
    <n v="185.42082399535556"/>
    <n v="0"/>
    <n v="6143.5138200000001"/>
    <n v="4475.618728800001"/>
    <n v="0"/>
    <n v="7648.1040991109448"/>
    <n v="3097.5809510027316"/>
  </r>
  <r>
    <s v="Regular"/>
    <x v="3"/>
    <x v="2"/>
    <x v="6"/>
    <x v="8"/>
    <x v="1"/>
    <x v="0"/>
    <x v="1"/>
    <x v="7"/>
    <n v="0"/>
    <n v="0"/>
    <n v="15.797000000000001"/>
    <n v="14.84918"/>
    <n v="15.797000000000001"/>
    <n v="14.84918"/>
    <n v="5"/>
    <x v="1"/>
    <n v="0"/>
    <n v="0"/>
    <n v="26"/>
    <n v="81"/>
    <n v="0"/>
    <n v="367.75"/>
    <n v="267.91000000000003"/>
    <m/>
    <n v="457.81459354608398"/>
    <n v="185.42082399535556"/>
    <n v="0"/>
    <n v="5460.7859450000005"/>
    <n v="3978.2438138000007"/>
    <n v="0"/>
    <n v="6798.1713061926393"/>
    <n v="2753.3471912553541"/>
  </r>
  <r>
    <s v="Regular"/>
    <x v="3"/>
    <x v="2"/>
    <x v="6"/>
    <x v="8"/>
    <x v="1"/>
    <x v="0"/>
    <x v="1"/>
    <x v="8"/>
    <n v="0"/>
    <n v="0"/>
    <n v="16.427"/>
    <n v="15.441380000000001"/>
    <n v="16.427"/>
    <n v="15.441380000000001"/>
    <n v="5"/>
    <x v="1"/>
    <n v="0"/>
    <n v="0"/>
    <n v="26"/>
    <n v="81"/>
    <n v="0"/>
    <n v="367.75"/>
    <n v="267.91000000000003"/>
    <m/>
    <n v="457.81459354608398"/>
    <n v="185.42082399535556"/>
    <n v="0"/>
    <n v="5678.5674950000002"/>
    <n v="4136.9001158000001"/>
    <n v="0"/>
    <n v="7069.2891084906305"/>
    <n v="2863.1534032254035"/>
  </r>
  <r>
    <s v="Regular"/>
    <x v="3"/>
    <x v="2"/>
    <x v="6"/>
    <x v="8"/>
    <x v="1"/>
    <x v="0"/>
    <x v="1"/>
    <x v="9"/>
    <n v="0"/>
    <n v="0"/>
    <n v="17.219000000000001"/>
    <n v="16.185860000000002"/>
    <n v="17.219000000000001"/>
    <n v="16.185860000000002"/>
    <n v="5"/>
    <x v="1"/>
    <n v="0"/>
    <n v="0"/>
    <n v="26"/>
    <n v="81"/>
    <n v="0"/>
    <n v="367.75"/>
    <n v="267.91000000000003"/>
    <m/>
    <n v="457.81459354608398"/>
    <n v="185.42082399535556"/>
    <n v="0"/>
    <n v="5952.3500150000009"/>
    <n v="4336.3537526000009"/>
    <n v="0"/>
    <n v="7410.1229170938195"/>
    <n v="3001.195498273466"/>
  </r>
  <r>
    <s v="Regular"/>
    <x v="3"/>
    <x v="2"/>
    <x v="6"/>
    <x v="8"/>
    <x v="1"/>
    <x v="0"/>
    <x v="1"/>
    <x v="10"/>
    <n v="0"/>
    <n v="0"/>
    <n v="16.811"/>
    <n v="15.802339999999999"/>
    <n v="16.811"/>
    <n v="15.802339999999999"/>
    <n v="5"/>
    <x v="1"/>
    <n v="0"/>
    <n v="0"/>
    <n v="26"/>
    <n v="81"/>
    <n v="0"/>
    <n v="367.75"/>
    <n v="267.91000000000003"/>
    <m/>
    <n v="457.81459354608398"/>
    <n v="185.42082399535556"/>
    <n v="0"/>
    <n v="5811.3105349999996"/>
    <n v="4233.6049094"/>
    <n v="0"/>
    <n v="7234.5418641770248"/>
    <n v="2930.0829038547668"/>
  </r>
  <r>
    <s v="Regular"/>
    <x v="3"/>
    <x v="2"/>
    <x v="6"/>
    <x v="8"/>
    <x v="1"/>
    <x v="0"/>
    <x v="1"/>
    <x v="11"/>
    <n v="0"/>
    <n v="0"/>
    <n v="17.783000000000001"/>
    <n v="16.71602"/>
    <n v="17.783000000000001"/>
    <n v="16.71602"/>
    <n v="5"/>
    <x v="1"/>
    <n v="0"/>
    <n v="0"/>
    <n v="26"/>
    <n v="81"/>
    <n v="0"/>
    <n v="367.75"/>
    <n v="267.91000000000003"/>
    <m/>
    <n v="457.81459354608398"/>
    <n v="185.42082399535556"/>
    <n v="0"/>
    <n v="6147.3163549999999"/>
    <n v="4478.3889182000003"/>
    <n v="0"/>
    <n v="7652.8379020082111"/>
    <n v="3099.4982023228436"/>
  </r>
  <r>
    <s v="Regular"/>
    <x v="4"/>
    <x v="2"/>
    <x v="7"/>
    <x v="9"/>
    <x v="1"/>
    <x v="0"/>
    <x v="1"/>
    <x v="0"/>
    <n v="0"/>
    <n v="0"/>
    <n v="63.576000000000001"/>
    <n v="63.576000000000001"/>
    <n v="63.576000000000001"/>
    <n v="63.576000000000001"/>
    <n v="4"/>
    <x v="1"/>
    <n v="0"/>
    <n v="0"/>
    <n v="58"/>
    <n v="83"/>
    <n v="0"/>
    <n v="202.26"/>
    <n v="147.35"/>
    <m/>
    <n v="251.79802645034613"/>
    <n v="101.98145319744556"/>
    <n v="0"/>
    <n v="12858.88176"/>
    <n v="9367.9236000000001"/>
    <n v="0"/>
    <n v="16008.311329607206"/>
    <n v="6483.5728684807991"/>
  </r>
  <r>
    <s v="Regular"/>
    <x v="4"/>
    <x v="2"/>
    <x v="7"/>
    <x v="9"/>
    <x v="1"/>
    <x v="0"/>
    <x v="1"/>
    <x v="1"/>
    <n v="0"/>
    <n v="0"/>
    <n v="65.489000000000004"/>
    <n v="65.489000000000004"/>
    <n v="65.489000000000004"/>
    <n v="65.489000000000004"/>
    <n v="4"/>
    <x v="1"/>
    <n v="0"/>
    <n v="0"/>
    <n v="58"/>
    <n v="83"/>
    <n v="0"/>
    <n v="202.26"/>
    <n v="147.35"/>
    <m/>
    <n v="251.79802645034613"/>
    <n v="101.98145319744556"/>
    <n v="0"/>
    <n v="13245.80514"/>
    <n v="9649.8041499999999"/>
    <n v="0"/>
    <n v="16490.00095420672"/>
    <n v="6678.6633884475132"/>
  </r>
  <r>
    <s v="Regular"/>
    <x v="4"/>
    <x v="2"/>
    <x v="7"/>
    <x v="9"/>
    <x v="1"/>
    <x v="0"/>
    <x v="1"/>
    <x v="2"/>
    <n v="0"/>
    <n v="0"/>
    <n v="65.093000000000004"/>
    <n v="65.093000000000004"/>
    <n v="65.093000000000004"/>
    <n v="65.093000000000004"/>
    <n v="5"/>
    <x v="1"/>
    <n v="0"/>
    <n v="0"/>
    <n v="58"/>
    <n v="83"/>
    <n v="0"/>
    <n v="202.26"/>
    <n v="147.35"/>
    <m/>
    <n v="251.79802645034613"/>
    <n v="101.98145319744556"/>
    <n v="0"/>
    <n v="13165.71018"/>
    <n v="9591.4535500000002"/>
    <n v="0"/>
    <n v="16390.28893573238"/>
    <n v="6638.2787329813245"/>
  </r>
  <r>
    <s v="Regular"/>
    <x v="4"/>
    <x v="2"/>
    <x v="7"/>
    <x v="9"/>
    <x v="1"/>
    <x v="0"/>
    <x v="1"/>
    <x v="3"/>
    <n v="0"/>
    <n v="0"/>
    <n v="66.756"/>
    <n v="66.756"/>
    <n v="66.756"/>
    <n v="66.756"/>
    <n v="5"/>
    <x v="1"/>
    <n v="0"/>
    <n v="0"/>
    <n v="58"/>
    <n v="83"/>
    <n v="0"/>
    <n v="202.26"/>
    <n v="147.35"/>
    <m/>
    <n v="251.79802645034613"/>
    <n v="101.98145319744556"/>
    <n v="0"/>
    <n v="13502.06856"/>
    <n v="9836.4966000000004"/>
    <n v="0"/>
    <n v="16809.029053719307"/>
    <n v="6807.8738896486757"/>
  </r>
  <r>
    <s v="Regular"/>
    <x v="4"/>
    <x v="2"/>
    <x v="7"/>
    <x v="9"/>
    <x v="1"/>
    <x v="0"/>
    <x v="1"/>
    <x v="4"/>
    <n v="0"/>
    <n v="0"/>
    <n v="66.445999999999998"/>
    <n v="66.445999999999998"/>
    <n v="66.445999999999998"/>
    <n v="66.445999999999998"/>
    <n v="5"/>
    <x v="1"/>
    <n v="0"/>
    <n v="0"/>
    <n v="58"/>
    <n v="83"/>
    <n v="0"/>
    <n v="202.26"/>
    <n v="147.35"/>
    <m/>
    <n v="251.79802645034613"/>
    <n v="101.98145319744556"/>
    <n v="0"/>
    <n v="13439.36796"/>
    <n v="9790.8180999999986"/>
    <n v="0"/>
    <n v="16730.971665519697"/>
    <n v="6776.2596391574671"/>
  </r>
  <r>
    <s v="Regular"/>
    <x v="4"/>
    <x v="2"/>
    <x v="7"/>
    <x v="9"/>
    <x v="1"/>
    <x v="0"/>
    <x v="1"/>
    <x v="5"/>
    <n v="0"/>
    <n v="0"/>
    <n v="60.360999999999997"/>
    <n v="60.360999999999997"/>
    <n v="60.360999999999997"/>
    <n v="60.360999999999997"/>
    <n v="4"/>
    <x v="1"/>
    <n v="0"/>
    <n v="0"/>
    <n v="58"/>
    <n v="83"/>
    <n v="0"/>
    <n v="202.26"/>
    <n v="147.35"/>
    <m/>
    <n v="251.79802645034613"/>
    <n v="101.98145319744556"/>
    <n v="0"/>
    <n v="12208.615859999998"/>
    <n v="8894.1933499999996"/>
    <n v="0"/>
    <n v="15198.780674569341"/>
    <n v="6155.702496451011"/>
  </r>
  <r>
    <s v="Regular"/>
    <x v="4"/>
    <x v="2"/>
    <x v="7"/>
    <x v="9"/>
    <x v="1"/>
    <x v="0"/>
    <x v="1"/>
    <x v="6"/>
    <n v="0"/>
    <n v="0"/>
    <n v="66.873999999999995"/>
    <n v="66.873999999999995"/>
    <n v="66.873999999999995"/>
    <n v="66.873999999999995"/>
    <n v="5"/>
    <x v="1"/>
    <n v="0"/>
    <n v="0"/>
    <n v="58"/>
    <n v="83"/>
    <n v="0"/>
    <n v="202.26"/>
    <n v="147.35"/>
    <m/>
    <n v="251.79802645034613"/>
    <n v="101.98145319744556"/>
    <n v="0"/>
    <n v="13525.935239999999"/>
    <n v="9853.8838999999989"/>
    <n v="0"/>
    <n v="16838.741220840446"/>
    <n v="6819.9077011259742"/>
  </r>
  <r>
    <s v="Regular"/>
    <x v="4"/>
    <x v="2"/>
    <x v="7"/>
    <x v="9"/>
    <x v="1"/>
    <x v="0"/>
    <x v="1"/>
    <x v="7"/>
    <n v="0"/>
    <n v="0"/>
    <n v="66.096000000000004"/>
    <n v="66.096000000000004"/>
    <n v="66.096000000000004"/>
    <n v="66.096000000000004"/>
    <n v="5"/>
    <x v="1"/>
    <n v="0"/>
    <n v="0"/>
    <n v="58"/>
    <n v="83"/>
    <n v="0"/>
    <n v="202.26"/>
    <n v="147.35"/>
    <m/>
    <n v="251.79802645034613"/>
    <n v="101.98145319744556"/>
    <n v="0"/>
    <n v="13368.57696"/>
    <n v="9739.2456000000002"/>
    <n v="0"/>
    <n v="16642.842356262077"/>
    <n v="6740.5661305383619"/>
  </r>
  <r>
    <s v="Regular"/>
    <x v="4"/>
    <x v="2"/>
    <x v="7"/>
    <x v="9"/>
    <x v="1"/>
    <x v="0"/>
    <x v="1"/>
    <x v="8"/>
    <n v="0"/>
    <n v="0"/>
    <n v="67.013999999999996"/>
    <n v="67.013999999999996"/>
    <n v="67.013999999999996"/>
    <n v="67.013999999999996"/>
    <n v="5"/>
    <x v="1"/>
    <n v="0"/>
    <n v="0"/>
    <n v="58"/>
    <n v="83"/>
    <n v="0"/>
    <n v="202.26"/>
    <n v="147.35"/>
    <m/>
    <n v="251.79802645034613"/>
    <n v="101.98145319744556"/>
    <n v="0"/>
    <n v="13554.251639999999"/>
    <n v="9874.5128999999997"/>
    <n v="0"/>
    <n v="16873.992944543494"/>
    <n v="6834.1851045736166"/>
  </r>
  <r>
    <s v="Regular"/>
    <x v="4"/>
    <x v="2"/>
    <x v="7"/>
    <x v="9"/>
    <x v="1"/>
    <x v="0"/>
    <x v="1"/>
    <x v="9"/>
    <n v="0"/>
    <n v="0"/>
    <n v="64.759"/>
    <n v="64.759"/>
    <n v="64.759"/>
    <n v="64.759"/>
    <n v="5"/>
    <x v="1"/>
    <n v="0"/>
    <n v="0"/>
    <n v="58"/>
    <n v="83"/>
    <n v="0"/>
    <n v="202.26"/>
    <n v="147.35"/>
    <m/>
    <n v="251.79802645034613"/>
    <n v="101.98145319744556"/>
    <n v="0"/>
    <n v="13098.155339999999"/>
    <n v="9542.2386499999993"/>
    <n v="0"/>
    <n v="16306.188394897965"/>
    <n v="6604.2169276133773"/>
  </r>
  <r>
    <s v="Regular"/>
    <x v="4"/>
    <x v="2"/>
    <x v="7"/>
    <x v="9"/>
    <x v="1"/>
    <x v="0"/>
    <x v="1"/>
    <x v="10"/>
    <n v="0"/>
    <n v="0"/>
    <n v="66.870999999999995"/>
    <n v="66.870999999999995"/>
    <n v="66.870999999999995"/>
    <n v="66.870999999999995"/>
    <n v="5"/>
    <x v="1"/>
    <n v="0"/>
    <n v="0"/>
    <n v="58"/>
    <n v="83"/>
    <n v="0"/>
    <n v="202.26"/>
    <n v="147.35"/>
    <m/>
    <n v="251.79802645034613"/>
    <n v="101.98145319744556"/>
    <n v="0"/>
    <n v="13525.328459999999"/>
    <n v="9853.4418499999992"/>
    <n v="0"/>
    <n v="16837.985826761094"/>
    <n v="6819.6017567663812"/>
  </r>
  <r>
    <s v="Regular"/>
    <x v="4"/>
    <x v="2"/>
    <x v="7"/>
    <x v="9"/>
    <x v="1"/>
    <x v="0"/>
    <x v="1"/>
    <x v="11"/>
    <n v="0"/>
    <n v="0"/>
    <n v="66.802999999999997"/>
    <n v="66.802999999999997"/>
    <n v="66.802999999999997"/>
    <n v="66.802999999999997"/>
    <n v="5"/>
    <x v="1"/>
    <n v="0"/>
    <n v="0"/>
    <n v="58"/>
    <n v="83"/>
    <n v="0"/>
    <n v="202.26"/>
    <n v="147.35"/>
    <m/>
    <n v="251.79802645034613"/>
    <n v="101.98145319744556"/>
    <n v="0"/>
    <n v="13511.574779999999"/>
    <n v="9843.4220499999992"/>
    <n v="0"/>
    <n v="16820.863560962473"/>
    <n v="6812.6670179489556"/>
  </r>
  <r>
    <s v="Regular"/>
    <x v="4"/>
    <x v="2"/>
    <x v="7"/>
    <x v="10"/>
    <x v="1"/>
    <x v="0"/>
    <x v="1"/>
    <x v="0"/>
    <n v="0"/>
    <n v="0"/>
    <n v="2.0880000000000001"/>
    <n v="2.0880000000000001"/>
    <n v="2.0880000000000001"/>
    <n v="2.0880000000000001"/>
    <n v="2"/>
    <x v="1"/>
    <n v="0"/>
    <n v="0"/>
    <n v="64"/>
    <n v="84"/>
    <n v="0"/>
    <n v="220.65"/>
    <n v="160.75"/>
    <m/>
    <n v="274.68875612765038"/>
    <n v="111.25249439721333"/>
    <n v="0"/>
    <n v="460.71720000000005"/>
    <n v="335.64600000000002"/>
    <n v="0"/>
    <n v="573.55012279453399"/>
    <n v="232.29520830138142"/>
  </r>
  <r>
    <s v="Regular"/>
    <x v="4"/>
    <x v="2"/>
    <x v="7"/>
    <x v="10"/>
    <x v="1"/>
    <x v="0"/>
    <x v="1"/>
    <x v="1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  <r>
    <s v="Regular"/>
    <x v="4"/>
    <x v="2"/>
    <x v="7"/>
    <x v="10"/>
    <x v="1"/>
    <x v="0"/>
    <x v="1"/>
    <x v="2"/>
    <n v="0"/>
    <n v="0"/>
    <n v="2.0880000000000001"/>
    <n v="2.0880000000000001"/>
    <n v="2.0880000000000001"/>
    <n v="2.0880000000000001"/>
    <n v="2"/>
    <x v="1"/>
    <n v="0"/>
    <n v="0"/>
    <n v="64"/>
    <n v="84"/>
    <n v="0"/>
    <n v="220.65"/>
    <n v="160.75"/>
    <m/>
    <n v="274.68875612765038"/>
    <n v="111.25249439721333"/>
    <n v="0"/>
    <n v="460.71720000000005"/>
    <n v="335.64600000000002"/>
    <n v="0"/>
    <n v="573.55012279453399"/>
    <n v="232.29520830138142"/>
  </r>
  <r>
    <s v="Regular"/>
    <x v="4"/>
    <x v="2"/>
    <x v="7"/>
    <x v="10"/>
    <x v="1"/>
    <x v="0"/>
    <x v="1"/>
    <x v="3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  <r>
    <s v="Regular"/>
    <x v="4"/>
    <x v="2"/>
    <x v="7"/>
    <x v="10"/>
    <x v="1"/>
    <x v="0"/>
    <x v="1"/>
    <x v="4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  <r>
    <s v="Regular"/>
    <x v="4"/>
    <x v="2"/>
    <x v="7"/>
    <x v="10"/>
    <x v="1"/>
    <x v="0"/>
    <x v="1"/>
    <x v="5"/>
    <n v="0"/>
    <n v="0"/>
    <n v="1.948"/>
    <n v="1.948"/>
    <n v="1.948"/>
    <n v="1.948"/>
    <n v="2"/>
    <x v="1"/>
    <n v="0"/>
    <n v="0"/>
    <n v="64"/>
    <n v="84"/>
    <n v="0"/>
    <n v="220.65"/>
    <n v="160.75"/>
    <m/>
    <n v="274.68875612765038"/>
    <n v="111.25249439721333"/>
    <n v="0"/>
    <n v="429.82620000000003"/>
    <n v="313.14100000000002"/>
    <n v="0"/>
    <n v="535.09369693666292"/>
    <n v="216.71985908577156"/>
  </r>
  <r>
    <s v="Regular"/>
    <x v="4"/>
    <x v="2"/>
    <x v="7"/>
    <x v="10"/>
    <x v="1"/>
    <x v="0"/>
    <x v="1"/>
    <x v="6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  <r>
    <s v="Regular"/>
    <x v="4"/>
    <x v="2"/>
    <x v="7"/>
    <x v="10"/>
    <x v="1"/>
    <x v="0"/>
    <x v="1"/>
    <x v="7"/>
    <n v="0"/>
    <n v="0"/>
    <n v="2.0880000000000001"/>
    <n v="2.0880000000000001"/>
    <n v="2.0880000000000001"/>
    <n v="2.0880000000000001"/>
    <n v="2"/>
    <x v="1"/>
    <n v="0"/>
    <n v="0"/>
    <n v="64"/>
    <n v="84"/>
    <n v="0"/>
    <n v="220.65"/>
    <n v="160.75"/>
    <m/>
    <n v="274.68875612765038"/>
    <n v="111.25249439721333"/>
    <n v="0"/>
    <n v="460.71720000000005"/>
    <n v="335.64600000000002"/>
    <n v="0"/>
    <n v="573.55012279453399"/>
    <n v="232.29520830138142"/>
  </r>
  <r>
    <s v="Regular"/>
    <x v="4"/>
    <x v="2"/>
    <x v="7"/>
    <x v="10"/>
    <x v="1"/>
    <x v="0"/>
    <x v="1"/>
    <x v="8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  <r>
    <s v="Regular"/>
    <x v="4"/>
    <x v="2"/>
    <x v="7"/>
    <x v="10"/>
    <x v="1"/>
    <x v="0"/>
    <x v="1"/>
    <x v="9"/>
    <n v="0"/>
    <n v="0"/>
    <n v="2.0880000000000001"/>
    <n v="2.0880000000000001"/>
    <n v="2.0880000000000001"/>
    <n v="2.0880000000000001"/>
    <n v="2"/>
    <x v="1"/>
    <n v="0"/>
    <n v="0"/>
    <n v="64"/>
    <n v="84"/>
    <n v="0"/>
    <n v="220.65"/>
    <n v="160.75"/>
    <m/>
    <n v="274.68875612765038"/>
    <n v="111.25249439721333"/>
    <n v="0"/>
    <n v="460.71720000000005"/>
    <n v="335.64600000000002"/>
    <n v="0"/>
    <n v="573.55012279453399"/>
    <n v="232.29520830138142"/>
  </r>
  <r>
    <s v="Regular"/>
    <x v="4"/>
    <x v="2"/>
    <x v="7"/>
    <x v="10"/>
    <x v="1"/>
    <x v="0"/>
    <x v="1"/>
    <x v="10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  <r>
    <s v="Regular"/>
    <x v="4"/>
    <x v="2"/>
    <x v="7"/>
    <x v="10"/>
    <x v="1"/>
    <x v="0"/>
    <x v="1"/>
    <x v="11"/>
    <n v="0"/>
    <n v="0"/>
    <n v="2.157"/>
    <n v="2.157"/>
    <n v="2.157"/>
    <n v="2.157"/>
    <n v="2"/>
    <x v="1"/>
    <n v="0"/>
    <n v="0"/>
    <n v="64"/>
    <n v="84"/>
    <n v="0"/>
    <n v="220.65"/>
    <n v="160.75"/>
    <m/>
    <n v="274.68875612765038"/>
    <n v="111.25249439721333"/>
    <n v="0"/>
    <n v="475.94204999999999"/>
    <n v="346.73775000000001"/>
    <n v="0"/>
    <n v="592.50364696734187"/>
    <n v="239.971630414789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6">
  <r>
    <s v="Regular"/>
    <x v="0"/>
    <x v="0"/>
    <x v="0"/>
    <x v="0"/>
    <x v="0"/>
    <x v="0"/>
    <x v="0"/>
    <x v="0"/>
    <n v="87"/>
    <n v="43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71.79"/>
    <n v="0"/>
    <n v="1316.4081513592701"/>
    <n v="0"/>
    <x v="0"/>
  </r>
  <r>
    <s v="Regular"/>
    <x v="0"/>
    <x v="0"/>
    <x v="0"/>
    <x v="0"/>
    <x v="0"/>
    <x v="0"/>
    <x v="0"/>
    <x v="1"/>
    <n v="87"/>
    <n v="43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71.79"/>
    <n v="0"/>
    <n v="1316.4081513592701"/>
    <n v="0"/>
    <x v="0"/>
  </r>
  <r>
    <s v="Regular"/>
    <x v="0"/>
    <x v="0"/>
    <x v="0"/>
    <x v="0"/>
    <x v="0"/>
    <x v="0"/>
    <x v="0"/>
    <x v="2"/>
    <n v="89"/>
    <n v="44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94.13"/>
    <n v="0"/>
    <n v="1346.6704077123568"/>
    <n v="0"/>
    <x v="0"/>
  </r>
  <r>
    <s v="Regular"/>
    <x v="0"/>
    <x v="0"/>
    <x v="0"/>
    <x v="0"/>
    <x v="0"/>
    <x v="0"/>
    <x v="0"/>
    <x v="3"/>
    <n v="89"/>
    <n v="44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94.13"/>
    <n v="0"/>
    <n v="1346.6704077123568"/>
    <n v="0"/>
    <x v="0"/>
  </r>
  <r>
    <s v="Regular"/>
    <x v="0"/>
    <x v="0"/>
    <x v="0"/>
    <x v="0"/>
    <x v="0"/>
    <x v="0"/>
    <x v="0"/>
    <x v="4"/>
    <n v="87"/>
    <n v="43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71.79"/>
    <n v="0"/>
    <n v="1316.4081513592701"/>
    <n v="0"/>
    <x v="0"/>
  </r>
  <r>
    <s v="Regular"/>
    <x v="0"/>
    <x v="0"/>
    <x v="0"/>
    <x v="0"/>
    <x v="0"/>
    <x v="0"/>
    <x v="0"/>
    <x v="5"/>
    <n v="91"/>
    <n v="45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1016.47"/>
    <n v="0"/>
    <n v="1376.9326640654435"/>
    <n v="0"/>
    <x v="0"/>
  </r>
  <r>
    <s v="Regular"/>
    <x v="0"/>
    <x v="0"/>
    <x v="0"/>
    <x v="0"/>
    <x v="0"/>
    <x v="0"/>
    <x v="0"/>
    <x v="6"/>
    <n v="91"/>
    <n v="45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1016.47"/>
    <n v="0"/>
    <n v="1376.9326640654435"/>
    <n v="0"/>
    <x v="0"/>
  </r>
  <r>
    <s v="Regular"/>
    <x v="0"/>
    <x v="0"/>
    <x v="0"/>
    <x v="0"/>
    <x v="0"/>
    <x v="0"/>
    <x v="0"/>
    <x v="7"/>
    <n v="92"/>
    <n v="46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1027.6400000000001"/>
    <n v="0"/>
    <n v="1392.0637922419869"/>
    <n v="0"/>
    <x v="0"/>
  </r>
  <r>
    <s v="Regular"/>
    <x v="0"/>
    <x v="0"/>
    <x v="0"/>
    <x v="0"/>
    <x v="0"/>
    <x v="0"/>
    <x v="0"/>
    <x v="8"/>
    <n v="87"/>
    <n v="43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71.79"/>
    <n v="0"/>
    <n v="1316.4081513592701"/>
    <n v="0"/>
    <x v="0"/>
  </r>
  <r>
    <s v="Regular"/>
    <x v="0"/>
    <x v="0"/>
    <x v="0"/>
    <x v="0"/>
    <x v="0"/>
    <x v="0"/>
    <x v="0"/>
    <x v="9"/>
    <n v="94"/>
    <n v="47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1049.98"/>
    <n v="0"/>
    <n v="1422.3260485950734"/>
    <n v="0"/>
    <x v="0"/>
  </r>
  <r>
    <s v="Regular"/>
    <x v="0"/>
    <x v="0"/>
    <x v="0"/>
    <x v="0"/>
    <x v="0"/>
    <x v="0"/>
    <x v="0"/>
    <x v="10"/>
    <n v="99"/>
    <n v="49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1105.83"/>
    <n v="0"/>
    <n v="1497.9816894777903"/>
    <n v="0"/>
    <x v="0"/>
  </r>
  <r>
    <s v="Regular"/>
    <x v="0"/>
    <x v="0"/>
    <x v="0"/>
    <x v="0"/>
    <x v="0"/>
    <x v="0"/>
    <x v="0"/>
    <x v="11"/>
    <n v="87"/>
    <n v="43.5"/>
    <n v="0"/>
    <n v="0"/>
    <n v="0"/>
    <n v="0"/>
    <n v="0"/>
    <s v="LIVRE"/>
    <n v="0"/>
    <n v="1"/>
    <n v="0"/>
    <n v="0"/>
    <n v="22.34"/>
    <n v="0"/>
    <n v="0"/>
    <n v="30.26225635308667"/>
    <n v="101.17512561425467"/>
    <m/>
    <n v="971.79"/>
    <n v="0"/>
    <n v="1316.4081513592701"/>
    <n v="0"/>
    <x v="0"/>
  </r>
  <r>
    <s v="Regular"/>
    <x v="0"/>
    <x v="0"/>
    <x v="0"/>
    <x v="0"/>
    <x v="0"/>
    <x v="0"/>
    <x v="1"/>
    <x v="0"/>
    <n v="0"/>
    <n v="0"/>
    <n v="45.453000000000003"/>
    <n v="45.453000000000003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1"/>
    <n v="0"/>
    <n v="0"/>
    <n v="46.8"/>
    <n v="46.8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2"/>
    <n v="0"/>
    <n v="0"/>
    <n v="47.036000000000001"/>
    <n v="47.036000000000001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3"/>
    <n v="0"/>
    <n v="0"/>
    <n v="48.454999999999998"/>
    <n v="48.454999999999998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4"/>
    <n v="0"/>
    <n v="0"/>
    <n v="46.819000000000003"/>
    <n v="46.819000000000003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5"/>
    <n v="0"/>
    <n v="0"/>
    <n v="42.377000000000002"/>
    <n v="42.377000000000002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6"/>
    <n v="0"/>
    <n v="0"/>
    <n v="49.387"/>
    <n v="49.387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7"/>
    <n v="0"/>
    <n v="0"/>
    <n v="47.712000000000003"/>
    <n v="47.712000000000003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8"/>
    <n v="0"/>
    <n v="0"/>
    <n v="47.343000000000004"/>
    <n v="47.343000000000004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9"/>
    <n v="0"/>
    <n v="0"/>
    <n v="45.942999999999998"/>
    <n v="45.942999999999998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10"/>
    <n v="0"/>
    <n v="0"/>
    <n v="47.923999999999999"/>
    <n v="47.923999999999999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1"/>
    <x v="11"/>
    <n v="0"/>
    <n v="0"/>
    <n v="47.061"/>
    <n v="47.061"/>
    <n v="0"/>
    <n v="0"/>
    <n v="1"/>
    <s v="LIVRE"/>
    <n v="0"/>
    <n v="0"/>
    <n v="4"/>
    <n v="0"/>
    <n v="0"/>
    <n v="56.92"/>
    <n v="0"/>
    <m/>
    <n v="101.17512561425467"/>
    <m/>
    <n v="0"/>
    <n v="0"/>
    <n v="0"/>
    <n v="0"/>
    <x v="0"/>
  </r>
  <r>
    <s v="Regular"/>
    <x v="0"/>
    <x v="0"/>
    <x v="0"/>
    <x v="0"/>
    <x v="0"/>
    <x v="0"/>
    <x v="2"/>
    <x v="0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1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2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3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4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5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6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7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8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9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10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0"/>
    <x v="0"/>
    <x v="0"/>
    <x v="0"/>
    <x v="0"/>
    <x v="2"/>
    <x v="11"/>
    <n v="87"/>
    <n v="43.5"/>
    <n v="0"/>
    <n v="0"/>
    <n v="0"/>
    <n v="0"/>
    <n v="0"/>
    <s v="LIVRE"/>
    <n v="0"/>
    <n v="3"/>
    <n v="0"/>
    <n v="0"/>
    <n v="78.180000000000007"/>
    <n v="0"/>
    <n v="0"/>
    <n v="92.877947587584202"/>
    <n v="101.17512561425467"/>
    <m/>
    <n v="3400.8300000000004"/>
    <n v="0"/>
    <n v="4040.190720059913"/>
    <n v="0"/>
    <x v="0"/>
  </r>
  <r>
    <s v="Regular"/>
    <x v="0"/>
    <x v="1"/>
    <x v="0"/>
    <x v="0"/>
    <x v="0"/>
    <x v="0"/>
    <x v="0"/>
    <x v="0"/>
    <n v="0"/>
    <n v="0"/>
    <n v="257.48399999999998"/>
    <n v="257.48399999999998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1"/>
    <n v="0"/>
    <n v="0"/>
    <n v="278.851"/>
    <n v="278.851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2"/>
    <n v="0"/>
    <n v="0"/>
    <n v="274.83199999999999"/>
    <n v="274.83199999999999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3"/>
    <n v="0"/>
    <n v="0"/>
    <n v="208.74100000000001"/>
    <n v="208.74100000000001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4"/>
    <n v="0"/>
    <n v="0"/>
    <n v="280.149"/>
    <n v="280.149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5"/>
    <n v="0"/>
    <n v="0"/>
    <n v="295.05799999999999"/>
    <n v="295.05799999999999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6"/>
    <n v="0"/>
    <n v="0"/>
    <n v="336.435"/>
    <n v="336.435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7"/>
    <n v="0"/>
    <n v="0"/>
    <n v="330.31299999999999"/>
    <n v="330.31299999999999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8"/>
    <n v="0"/>
    <n v="0"/>
    <n v="425.762"/>
    <n v="425.762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9"/>
    <n v="0"/>
    <n v="0"/>
    <n v="229.59800000000001"/>
    <n v="229.59800000000001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10"/>
    <n v="0"/>
    <n v="0"/>
    <n v="248.518"/>
    <n v="248.518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0"/>
    <x v="11"/>
    <n v="0"/>
    <n v="0"/>
    <n v="309.75900000000001"/>
    <n v="309.75900000000001"/>
    <n v="0"/>
    <n v="0"/>
    <n v="0"/>
    <s v="LIVRE"/>
    <n v="0"/>
    <n v="0"/>
    <n v="15"/>
    <n v="0"/>
    <n v="0"/>
    <n v="56.92"/>
    <n v="0"/>
    <m/>
    <n v="101.17512561425467"/>
    <m/>
    <n v="0"/>
    <n v="0"/>
    <n v="0"/>
    <n v="0"/>
    <x v="0"/>
  </r>
  <r>
    <s v="Regular"/>
    <x v="0"/>
    <x v="1"/>
    <x v="0"/>
    <x v="0"/>
    <x v="0"/>
    <x v="0"/>
    <x v="1"/>
    <x v="0"/>
    <n v="540"/>
    <n v="270"/>
    <n v="0"/>
    <n v="0"/>
    <n v="0"/>
    <n v="0"/>
    <n v="1"/>
    <s v="LIVRE"/>
    <n v="0"/>
    <n v="22"/>
    <n v="0"/>
    <n v="0"/>
    <n v="22.34"/>
    <n v="0"/>
    <n v="0"/>
    <n v="30.26225635308667"/>
    <m/>
    <m/>
    <n v="6031.8"/>
    <n v="0"/>
    <n v="8170.809215333401"/>
    <n v="0"/>
    <x v="0"/>
  </r>
  <r>
    <s v="Regular"/>
    <x v="0"/>
    <x v="1"/>
    <x v="0"/>
    <x v="0"/>
    <x v="0"/>
    <x v="0"/>
    <x v="1"/>
    <x v="1"/>
    <n v="540"/>
    <n v="270"/>
    <n v="0"/>
    <n v="0"/>
    <n v="0"/>
    <n v="0"/>
    <n v="1"/>
    <s v="LIVRE"/>
    <n v="0"/>
    <n v="22"/>
    <n v="0"/>
    <n v="0"/>
    <n v="22.34"/>
    <n v="0"/>
    <n v="0"/>
    <n v="30.26225635308667"/>
    <m/>
    <m/>
    <n v="6031.8"/>
    <n v="0"/>
    <n v="8170.809215333401"/>
    <n v="0"/>
    <x v="0"/>
  </r>
  <r>
    <s v="Regular"/>
    <x v="0"/>
    <x v="1"/>
    <x v="0"/>
    <x v="0"/>
    <x v="0"/>
    <x v="0"/>
    <x v="1"/>
    <x v="2"/>
    <n v="540"/>
    <n v="270"/>
    <n v="0"/>
    <n v="0"/>
    <n v="0"/>
    <n v="0"/>
    <n v="1"/>
    <s v="LIVRE"/>
    <n v="0"/>
    <n v="22"/>
    <n v="0"/>
    <n v="0"/>
    <n v="22.34"/>
    <n v="0"/>
    <n v="0"/>
    <n v="30.26225635308667"/>
    <m/>
    <m/>
    <n v="6031.8"/>
    <n v="0"/>
    <n v="8170.809215333401"/>
    <n v="0"/>
    <x v="0"/>
  </r>
  <r>
    <s v="Regular"/>
    <x v="0"/>
    <x v="1"/>
    <x v="0"/>
    <x v="0"/>
    <x v="0"/>
    <x v="0"/>
    <x v="1"/>
    <x v="3"/>
    <n v="554"/>
    <n v="277"/>
    <n v="0"/>
    <n v="0"/>
    <n v="0"/>
    <n v="0"/>
    <n v="1"/>
    <s v="LIVRE"/>
    <n v="0"/>
    <n v="22"/>
    <n v="0"/>
    <n v="0"/>
    <n v="22.34"/>
    <n v="0"/>
    <n v="0"/>
    <n v="30.26225635308667"/>
    <m/>
    <m/>
    <n v="6188.18"/>
    <n v="0"/>
    <n v="8382.6450098050082"/>
    <n v="0"/>
    <x v="0"/>
  </r>
  <r>
    <s v="Regular"/>
    <x v="0"/>
    <x v="1"/>
    <x v="0"/>
    <x v="0"/>
    <x v="0"/>
    <x v="0"/>
    <x v="1"/>
    <x v="4"/>
    <n v="561"/>
    <n v="280.5"/>
    <n v="0"/>
    <n v="0"/>
    <n v="0"/>
    <n v="0"/>
    <n v="1"/>
    <s v="LIVRE"/>
    <n v="0"/>
    <n v="22"/>
    <n v="0"/>
    <n v="0"/>
    <n v="22.34"/>
    <n v="0"/>
    <n v="0"/>
    <n v="30.26225635308667"/>
    <m/>
    <m/>
    <n v="6266.37"/>
    <n v="0"/>
    <n v="8488.5629070408104"/>
    <n v="0"/>
    <x v="0"/>
  </r>
  <r>
    <s v="Regular"/>
    <x v="0"/>
    <x v="1"/>
    <x v="0"/>
    <x v="0"/>
    <x v="0"/>
    <x v="0"/>
    <x v="1"/>
    <x v="5"/>
    <n v="598"/>
    <n v="299"/>
    <n v="0"/>
    <n v="0"/>
    <n v="0"/>
    <n v="0"/>
    <n v="1"/>
    <s v="LIVRE"/>
    <n v="0"/>
    <n v="22"/>
    <n v="0"/>
    <n v="0"/>
    <n v="22.34"/>
    <n v="0"/>
    <n v="0"/>
    <n v="30.26225635308667"/>
    <m/>
    <m/>
    <n v="6679.66"/>
    <n v="0"/>
    <n v="9048.4146495729146"/>
    <n v="0"/>
    <x v="0"/>
  </r>
  <r>
    <s v="Regular"/>
    <x v="0"/>
    <x v="1"/>
    <x v="0"/>
    <x v="0"/>
    <x v="0"/>
    <x v="0"/>
    <x v="1"/>
    <x v="6"/>
    <n v="601"/>
    <n v="300.5"/>
    <n v="0"/>
    <n v="0"/>
    <n v="0"/>
    <n v="0"/>
    <n v="1"/>
    <s v="LIVRE"/>
    <n v="0"/>
    <n v="22"/>
    <n v="0"/>
    <n v="0"/>
    <n v="22.34"/>
    <n v="0"/>
    <n v="0"/>
    <n v="30.26225635308667"/>
    <m/>
    <m/>
    <n v="6713.17"/>
    <n v="0"/>
    <n v="9093.8080341025452"/>
    <n v="0"/>
    <x v="0"/>
  </r>
  <r>
    <s v="Regular"/>
    <x v="0"/>
    <x v="1"/>
    <x v="0"/>
    <x v="0"/>
    <x v="0"/>
    <x v="0"/>
    <x v="1"/>
    <x v="7"/>
    <n v="605"/>
    <n v="302.5"/>
    <n v="0"/>
    <n v="0"/>
    <n v="0"/>
    <n v="0"/>
    <n v="1"/>
    <s v="LIVRE"/>
    <n v="0"/>
    <n v="22"/>
    <n v="0"/>
    <n v="0"/>
    <n v="22.34"/>
    <n v="0"/>
    <n v="0"/>
    <n v="30.26225635308667"/>
    <m/>
    <m/>
    <n v="6757.85"/>
    <n v="0"/>
    <n v="9154.3325468087169"/>
    <n v="0"/>
    <x v="0"/>
  </r>
  <r>
    <s v="Regular"/>
    <x v="0"/>
    <x v="1"/>
    <x v="0"/>
    <x v="0"/>
    <x v="0"/>
    <x v="0"/>
    <x v="1"/>
    <x v="8"/>
    <n v="1198"/>
    <n v="599"/>
    <n v="0"/>
    <n v="0"/>
    <n v="0"/>
    <n v="0"/>
    <n v="2"/>
    <s v="LIVRE"/>
    <n v="0"/>
    <n v="22"/>
    <n v="0"/>
    <n v="0"/>
    <n v="22.34"/>
    <n v="0"/>
    <n v="0"/>
    <n v="30.26225635308667"/>
    <m/>
    <m/>
    <n v="13381.66"/>
    <n v="0"/>
    <n v="18127.091555498915"/>
    <n v="0"/>
    <x v="0"/>
  </r>
  <r>
    <s v="Regular"/>
    <x v="0"/>
    <x v="1"/>
    <x v="0"/>
    <x v="0"/>
    <x v="0"/>
    <x v="0"/>
    <x v="1"/>
    <x v="9"/>
    <n v="1195"/>
    <n v="597.5"/>
    <n v="0"/>
    <n v="0"/>
    <n v="0"/>
    <n v="0"/>
    <n v="2"/>
    <s v="LIVRE"/>
    <n v="0"/>
    <n v="22"/>
    <n v="0"/>
    <n v="0"/>
    <n v="22.34"/>
    <n v="0"/>
    <n v="0"/>
    <n v="30.26225635308667"/>
    <m/>
    <m/>
    <n v="13348.15"/>
    <n v="0"/>
    <n v="18081.698170969285"/>
    <n v="0"/>
    <x v="0"/>
  </r>
  <r>
    <s v="Regular"/>
    <x v="0"/>
    <x v="1"/>
    <x v="0"/>
    <x v="0"/>
    <x v="0"/>
    <x v="0"/>
    <x v="1"/>
    <x v="10"/>
    <n v="1140"/>
    <n v="570"/>
    <n v="0"/>
    <n v="0"/>
    <n v="0"/>
    <n v="0"/>
    <n v="2"/>
    <s v="LIVRE"/>
    <n v="0"/>
    <n v="22"/>
    <n v="0"/>
    <n v="0"/>
    <n v="22.34"/>
    <n v="0"/>
    <n v="0"/>
    <n v="30.26225635308667"/>
    <m/>
    <m/>
    <n v="12733.8"/>
    <n v="0"/>
    <n v="17249.486121259401"/>
    <n v="0"/>
    <x v="0"/>
  </r>
  <r>
    <s v="Regular"/>
    <x v="0"/>
    <x v="1"/>
    <x v="0"/>
    <x v="0"/>
    <x v="0"/>
    <x v="0"/>
    <x v="1"/>
    <x v="11"/>
    <n v="1140"/>
    <n v="570"/>
    <n v="0"/>
    <n v="0"/>
    <n v="0"/>
    <n v="0"/>
    <n v="2"/>
    <s v="LIVRE"/>
    <n v="0"/>
    <n v="22"/>
    <n v="0"/>
    <n v="0"/>
    <n v="22.34"/>
    <n v="0"/>
    <n v="0"/>
    <n v="30.26225635308667"/>
    <m/>
    <m/>
    <n v="12733.8"/>
    <n v="0"/>
    <n v="17249.486121259401"/>
    <n v="0"/>
    <x v="0"/>
  </r>
  <r>
    <s v="Regular"/>
    <x v="0"/>
    <x v="1"/>
    <x v="0"/>
    <x v="0"/>
    <x v="0"/>
    <x v="0"/>
    <x v="2"/>
    <x v="0"/>
    <n v="0"/>
    <n v="0"/>
    <n v="23.035"/>
    <n v="11.886060000000001"/>
    <n v="0"/>
    <n v="0"/>
    <n v="0"/>
    <s v="LIVRE"/>
    <n v="0"/>
    <n v="0"/>
    <n v="33"/>
    <n v="0"/>
    <n v="0"/>
    <n v="1936.94"/>
    <n v="0"/>
    <m/>
    <n v="2334.812641231822"/>
    <m/>
    <n v="0"/>
    <n v="21594.8278436"/>
    <n v="0"/>
    <n v="26030.686048335108"/>
    <x v="0"/>
  </r>
  <r>
    <s v="Regular"/>
    <x v="0"/>
    <x v="1"/>
    <x v="0"/>
    <x v="0"/>
    <x v="0"/>
    <x v="0"/>
    <x v="2"/>
    <x v="1"/>
    <n v="0"/>
    <n v="0"/>
    <n v="24.352"/>
    <n v="12.5339744"/>
    <n v="0"/>
    <n v="0"/>
    <n v="0"/>
    <s v="LIVRE"/>
    <n v="0"/>
    <n v="0"/>
    <n v="33"/>
    <n v="0"/>
    <n v="0"/>
    <n v="1936.94"/>
    <n v="0"/>
    <m/>
    <n v="2334.812641231822"/>
    <m/>
    <n v="0"/>
    <n v="22890.806505664001"/>
    <n v="0"/>
    <n v="27592.875565281287"/>
    <x v="0"/>
  </r>
  <r>
    <s v="Regular"/>
    <x v="0"/>
    <x v="1"/>
    <x v="0"/>
    <x v="0"/>
    <x v="0"/>
    <x v="0"/>
    <x v="2"/>
    <x v="2"/>
    <n v="0"/>
    <n v="0"/>
    <n v="24.995999999999999"/>
    <n v="12.865441199999999"/>
    <n v="0"/>
    <n v="0"/>
    <n v="0"/>
    <s v="LIVRE"/>
    <n v="0"/>
    <n v="0"/>
    <n v="33"/>
    <n v="0"/>
    <n v="0"/>
    <n v="1936.94"/>
    <n v="0"/>
    <m/>
    <n v="2334.812641231822"/>
    <m/>
    <n v="0"/>
    <n v="23496.164562072001"/>
    <n v="0"/>
    <n v="28322.58203144592"/>
    <x v="0"/>
  </r>
  <r>
    <s v="Regular"/>
    <x v="0"/>
    <x v="1"/>
    <x v="0"/>
    <x v="0"/>
    <x v="0"/>
    <x v="0"/>
    <x v="2"/>
    <x v="3"/>
    <n v="0"/>
    <n v="0"/>
    <n v="19.295999999999999"/>
    <n v="9.9316511999999992"/>
    <n v="0"/>
    <n v="0"/>
    <n v="0"/>
    <s v="LIVRE"/>
    <n v="0"/>
    <n v="0"/>
    <n v="33"/>
    <n v="0"/>
    <n v="0"/>
    <n v="1936.94"/>
    <n v="0"/>
    <m/>
    <n v="2334.812641231822"/>
    <m/>
    <n v="0"/>
    <n v="18138.181764672001"/>
    <n v="0"/>
    <n v="21863.999955144041"/>
    <x v="0"/>
  </r>
  <r>
    <s v="Regular"/>
    <x v="0"/>
    <x v="1"/>
    <x v="0"/>
    <x v="0"/>
    <x v="0"/>
    <x v="0"/>
    <x v="2"/>
    <x v="4"/>
    <n v="0"/>
    <n v="0"/>
    <n v="27.260999999999999"/>
    <n v="14.031236699999999"/>
    <n v="0"/>
    <n v="0"/>
    <n v="0"/>
    <s v="LIVRE"/>
    <n v="0"/>
    <n v="0"/>
    <n v="33"/>
    <n v="0"/>
    <n v="0"/>
    <n v="1936.94"/>
    <n v="0"/>
    <m/>
    <n v="2334.812641231822"/>
    <m/>
    <n v="0"/>
    <n v="25625.257726301999"/>
    <n v="0"/>
    <n v="30889.018593344827"/>
    <x v="0"/>
  </r>
  <r>
    <s v="Regular"/>
    <x v="0"/>
    <x v="1"/>
    <x v="0"/>
    <x v="0"/>
    <x v="0"/>
    <x v="0"/>
    <x v="2"/>
    <x v="5"/>
    <n v="0"/>
    <n v="0"/>
    <n v="27.995999999999999"/>
    <n v="14.4095412"/>
    <n v="0"/>
    <n v="0"/>
    <n v="0"/>
    <s v="LIVRE"/>
    <n v="0"/>
    <n v="0"/>
    <n v="33"/>
    <n v="0"/>
    <n v="0"/>
    <n v="1936.94"/>
    <n v="0"/>
    <m/>
    <n v="2334.812641231822"/>
    <m/>
    <n v="0"/>
    <n v="26316.155508071999"/>
    <n v="0"/>
    <n v="31721.835755815329"/>
    <x v="0"/>
  </r>
  <r>
    <s v="Regular"/>
    <x v="0"/>
    <x v="1"/>
    <x v="0"/>
    <x v="0"/>
    <x v="0"/>
    <x v="0"/>
    <x v="2"/>
    <x v="6"/>
    <n v="0"/>
    <n v="0"/>
    <n v="32.331000000000003"/>
    <n v="16.640765699999999"/>
    <n v="0"/>
    <n v="0"/>
    <n v="0"/>
    <s v="LIVRE"/>
    <n v="0"/>
    <n v="0"/>
    <n v="33"/>
    <n v="0"/>
    <n v="0"/>
    <n v="1936.94"/>
    <n v="0"/>
    <m/>
    <n v="2334.812641231822"/>
    <m/>
    <n v="0"/>
    <n v="30391.042425042007"/>
    <n v="0"/>
    <n v="36633.757387529135"/>
    <x v="0"/>
  </r>
  <r>
    <s v="Regular"/>
    <x v="0"/>
    <x v="1"/>
    <x v="0"/>
    <x v="0"/>
    <x v="0"/>
    <x v="0"/>
    <x v="2"/>
    <x v="7"/>
    <n v="0"/>
    <n v="0"/>
    <n v="28.545000000000002"/>
    <n v="14.692111499999999"/>
    <n v="0"/>
    <n v="0"/>
    <n v="0"/>
    <s v="LIVRE"/>
    <n v="0"/>
    <n v="0"/>
    <n v="33"/>
    <n v="0"/>
    <n v="0"/>
    <n v="1936.94"/>
    <n v="0"/>
    <m/>
    <n v="2334.812641231822"/>
    <m/>
    <n v="0"/>
    <n v="26832.213851190005"/>
    <n v="0"/>
    <n v="32343.89918737494"/>
    <x v="0"/>
  </r>
  <r>
    <s v="Regular"/>
    <x v="0"/>
    <x v="1"/>
    <x v="0"/>
    <x v="0"/>
    <x v="0"/>
    <x v="0"/>
    <x v="2"/>
    <x v="8"/>
    <n v="0"/>
    <n v="0"/>
    <n v="43.064"/>
    <n v="22.1650408"/>
    <n v="0"/>
    <n v="0"/>
    <n v="0"/>
    <s v="LIVRE"/>
    <n v="0"/>
    <n v="0"/>
    <n v="33"/>
    <n v="0"/>
    <n v="0"/>
    <n v="1936.94"/>
    <n v="0"/>
    <m/>
    <n v="2334.812641231822"/>
    <m/>
    <n v="0"/>
    <n v="40480.030032848001"/>
    <n v="0"/>
    <n v="48795.154128748087"/>
    <x v="0"/>
  </r>
  <r>
    <s v="Regular"/>
    <x v="0"/>
    <x v="1"/>
    <x v="0"/>
    <x v="0"/>
    <x v="0"/>
    <x v="0"/>
    <x v="2"/>
    <x v="9"/>
    <n v="0"/>
    <n v="0"/>
    <n v="21.507000000000001"/>
    <n v="11.069652899999999"/>
    <n v="0"/>
    <n v="0"/>
    <n v="0"/>
    <s v="LIVRE"/>
    <n v="0"/>
    <n v="0"/>
    <n v="33"/>
    <n v="0"/>
    <n v="0"/>
    <n v="1936.94"/>
    <n v="0"/>
    <m/>
    <n v="2334.812641231822"/>
    <m/>
    <n v="0"/>
    <n v="20216.515091874004"/>
    <n v="0"/>
    <n v="24369.249950004301"/>
    <x v="0"/>
  </r>
  <r>
    <s v="Regular"/>
    <x v="0"/>
    <x v="1"/>
    <x v="0"/>
    <x v="0"/>
    <x v="0"/>
    <x v="0"/>
    <x v="2"/>
    <x v="10"/>
    <n v="0"/>
    <n v="0"/>
    <n v="23.550999999999998"/>
    <n v="12.121699700000001"/>
    <n v="0"/>
    <n v="0"/>
    <n v="0"/>
    <s v="LIVRE"/>
    <n v="0"/>
    <n v="0"/>
    <n v="33"/>
    <n v="0"/>
    <n v="0"/>
    <n v="1936.94"/>
    <n v="0"/>
    <m/>
    <n v="2334.812641231822"/>
    <m/>
    <n v="0"/>
    <n v="22137.868923081995"/>
    <n v="0"/>
    <n v="26685.274820874649"/>
    <x v="0"/>
  </r>
  <r>
    <s v="Regular"/>
    <x v="0"/>
    <x v="1"/>
    <x v="0"/>
    <x v="0"/>
    <x v="0"/>
    <x v="0"/>
    <x v="2"/>
    <x v="11"/>
    <n v="0"/>
    <n v="0"/>
    <n v="31.175999999999998"/>
    <n v="16.046287199999998"/>
    <n v="0"/>
    <n v="0"/>
    <n v="0"/>
    <s v="LIVRE"/>
    <n v="0"/>
    <n v="0"/>
    <n v="33"/>
    <n v="0"/>
    <n v="0"/>
    <n v="1936.94"/>
    <n v="0"/>
    <m/>
    <n v="2334.812641231822"/>
    <m/>
    <n v="0"/>
    <n v="29305.345910832002"/>
    <n v="0"/>
    <n v="35325.044703646905"/>
    <x v="0"/>
  </r>
  <r>
    <s v="Regular"/>
    <x v="0"/>
    <x v="1"/>
    <x v="1"/>
    <x v="1"/>
    <x v="1"/>
    <x v="0"/>
    <x v="0"/>
    <x v="0"/>
    <n v="0"/>
    <n v="0"/>
    <n v="554.65700000000004"/>
    <n v="166.39709999999999"/>
    <n v="554.65700000000004"/>
    <n v="166.39709999999999"/>
    <n v="0"/>
    <s v="CATIVO"/>
    <n v="0"/>
    <n v="0"/>
    <n v="15"/>
    <n v="67"/>
    <n v="0"/>
    <n v="56.92"/>
    <n v="267.91000000000003"/>
    <m/>
    <n v="101.17512561425467"/>
    <n v="185.42082399535556"/>
    <n v="0"/>
    <n v="126118.46331700002"/>
    <n v="0"/>
    <n v="111273.7147358323"/>
    <x v="1"/>
  </r>
  <r>
    <s v="Regular"/>
    <x v="0"/>
    <x v="1"/>
    <x v="1"/>
    <x v="1"/>
    <x v="1"/>
    <x v="0"/>
    <x v="0"/>
    <x v="1"/>
    <n v="0"/>
    <n v="0"/>
    <n v="206.7"/>
    <n v="62.01"/>
    <n v="206.7"/>
    <n v="62.01"/>
    <n v="0"/>
    <s v="CATIVO"/>
    <n v="0"/>
    <n v="0"/>
    <n v="15"/>
    <n v="67"/>
    <n v="0"/>
    <n v="56.92"/>
    <n v="267.91000000000003"/>
    <m/>
    <n v="101.17512561425467"/>
    <n v="185.42082399535556"/>
    <n v="0"/>
    <n v="46999.652700000006"/>
    <n v="0"/>
    <n v="41467.567949014505"/>
    <x v="1"/>
  </r>
  <r>
    <s v="Regular"/>
    <x v="0"/>
    <x v="1"/>
    <x v="1"/>
    <x v="1"/>
    <x v="1"/>
    <x v="0"/>
    <x v="0"/>
    <x v="2"/>
    <n v="0"/>
    <n v="0"/>
    <n v="97.808000000000007"/>
    <n v="29.342400000000001"/>
    <n v="97.808000000000007"/>
    <n v="29.342400000000001"/>
    <n v="0"/>
    <s v="CATIVO"/>
    <n v="0"/>
    <n v="0"/>
    <n v="15"/>
    <n v="67"/>
    <n v="0"/>
    <n v="56.92"/>
    <n v="267.91000000000003"/>
    <m/>
    <n v="101.17512561425467"/>
    <n v="185.42082399535556"/>
    <n v="0"/>
    <n v="22239.680848000004"/>
    <n v="0"/>
    <n v="19621.963647591732"/>
    <x v="1"/>
  </r>
  <r>
    <s v="Regular"/>
    <x v="0"/>
    <x v="1"/>
    <x v="1"/>
    <x v="1"/>
    <x v="1"/>
    <x v="0"/>
    <x v="0"/>
    <x v="3"/>
    <n v="0"/>
    <n v="0"/>
    <n v="49.88"/>
    <n v="14.964"/>
    <n v="49.88"/>
    <n v="14.964"/>
    <n v="0"/>
    <s v="CATIVO"/>
    <n v="0"/>
    <n v="0"/>
    <n v="15"/>
    <n v="67"/>
    <n v="0"/>
    <n v="56.92"/>
    <n v="267.91000000000003"/>
    <m/>
    <n v="101.17512561425467"/>
    <n v="185.42082399535556"/>
    <n v="0"/>
    <n v="11341.764280000001"/>
    <n v="0"/>
    <n v="10006.784176569152"/>
    <x v="1"/>
  </r>
  <r>
    <s v="Regular"/>
    <x v="0"/>
    <x v="1"/>
    <x v="1"/>
    <x v="1"/>
    <x v="1"/>
    <x v="0"/>
    <x v="0"/>
    <x v="4"/>
    <n v="0"/>
    <n v="0"/>
    <n v="35.671999999999997"/>
    <n v="10.701599999999999"/>
    <n v="35.671999999999997"/>
    <n v="10.701599999999999"/>
    <n v="0"/>
    <s v="CATIVO"/>
    <n v="0"/>
    <n v="0"/>
    <n v="15"/>
    <n v="67"/>
    <n v="0"/>
    <n v="56.92"/>
    <n v="267.91000000000003"/>
    <m/>
    <n v="101.17512561425467"/>
    <n v="185.42082399535556"/>
    <n v="0"/>
    <n v="8111.1350320000001"/>
    <n v="0"/>
    <n v="7156.4155001318104"/>
    <x v="1"/>
  </r>
  <r>
    <s v="Regular"/>
    <x v="0"/>
    <x v="1"/>
    <x v="1"/>
    <x v="1"/>
    <x v="1"/>
    <x v="0"/>
    <x v="0"/>
    <x v="5"/>
    <n v="0"/>
    <n v="0"/>
    <n v="72.75"/>
    <n v="21.824999999999999"/>
    <n v="72.75"/>
    <n v="21.824999999999999"/>
    <n v="0"/>
    <s v="CATIVO"/>
    <n v="0"/>
    <n v="0"/>
    <n v="15"/>
    <n v="67"/>
    <n v="0"/>
    <n v="56.92"/>
    <n v="267.91000000000003"/>
    <m/>
    <n v="101.17512561425467"/>
    <n v="185.42082399535556"/>
    <n v="0"/>
    <n v="16541.96775"/>
    <n v="0"/>
    <n v="14594.898733869401"/>
    <x v="1"/>
  </r>
  <r>
    <s v="Regular"/>
    <x v="0"/>
    <x v="1"/>
    <x v="1"/>
    <x v="1"/>
    <x v="1"/>
    <x v="0"/>
    <x v="0"/>
    <x v="6"/>
    <n v="0"/>
    <n v="0"/>
    <n v="84.724000000000004"/>
    <n v="25.417200000000001"/>
    <n v="84.724000000000004"/>
    <n v="25.417200000000001"/>
    <n v="0"/>
    <s v="CATIVO"/>
    <n v="0"/>
    <n v="0"/>
    <n v="15"/>
    <n v="67"/>
    <n v="0"/>
    <n v="56.92"/>
    <n v="267.91000000000003"/>
    <m/>
    <n v="101.17512561425467"/>
    <n v="185.42082399535556"/>
    <n v="0"/>
    <n v="19264.627844000002"/>
    <n v="0"/>
    <n v="16997.088664307234"/>
    <x v="1"/>
  </r>
  <r>
    <s v="Regular"/>
    <x v="0"/>
    <x v="1"/>
    <x v="1"/>
    <x v="1"/>
    <x v="1"/>
    <x v="0"/>
    <x v="0"/>
    <x v="7"/>
    <n v="0"/>
    <n v="0"/>
    <n v="190.38499999999999"/>
    <n v="57.115499999999997"/>
    <n v="190.38499999999999"/>
    <n v="57.115499999999997"/>
    <n v="0"/>
    <s v="CATIVO"/>
    <n v="0"/>
    <n v="0"/>
    <n v="15"/>
    <n v="67"/>
    <n v="0"/>
    <n v="56.92"/>
    <n v="267.91000000000003"/>
    <m/>
    <n v="101.17512561425467"/>
    <n v="185.42082399535556"/>
    <n v="0"/>
    <n v="43289.931685000003"/>
    <n v="0"/>
    <n v="38194.498906497945"/>
    <x v="1"/>
  </r>
  <r>
    <s v="Regular"/>
    <x v="0"/>
    <x v="1"/>
    <x v="1"/>
    <x v="1"/>
    <x v="1"/>
    <x v="0"/>
    <x v="0"/>
    <x v="8"/>
    <n v="0"/>
    <n v="0"/>
    <n v="396.86799999999999"/>
    <n v="119.0604"/>
    <n v="396.86799999999999"/>
    <n v="119.0604"/>
    <n v="0"/>
    <s v="CATIVO"/>
    <n v="0"/>
    <n v="0"/>
    <n v="15"/>
    <n v="67"/>
    <n v="0"/>
    <n v="56.92"/>
    <n v="267.91000000000003"/>
    <m/>
    <n v="101.17512561425467"/>
    <n v="185.42082399535556"/>
    <n v="0"/>
    <n v="90240.242708000005"/>
    <n v="0"/>
    <n v="79618.532930766756"/>
    <x v="1"/>
  </r>
  <r>
    <s v="Regular"/>
    <x v="0"/>
    <x v="1"/>
    <x v="1"/>
    <x v="1"/>
    <x v="1"/>
    <x v="0"/>
    <x v="0"/>
    <x v="9"/>
    <n v="0"/>
    <n v="0"/>
    <n v="112.074"/>
    <n v="33.622199999999999"/>
    <n v="112.074"/>
    <n v="33.622199999999999"/>
    <n v="0"/>
    <s v="CATIVO"/>
    <n v="0"/>
    <n v="0"/>
    <n v="15"/>
    <n v="67"/>
    <n v="0"/>
    <n v="56.92"/>
    <n v="267.91000000000003"/>
    <m/>
    <n v="101.17512561425467"/>
    <n v="185.42082399535556"/>
    <n v="0"/>
    <n v="25483.498194"/>
    <n v="0"/>
    <n v="22483.968119583216"/>
    <x v="1"/>
  </r>
  <r>
    <s v="Regular"/>
    <x v="0"/>
    <x v="1"/>
    <x v="1"/>
    <x v="1"/>
    <x v="1"/>
    <x v="0"/>
    <x v="0"/>
    <x v="10"/>
    <n v="0"/>
    <n v="0"/>
    <n v="295.55399999999997"/>
    <n v="88.666200000000003"/>
    <n v="295.55399999999997"/>
    <n v="88.666200000000003"/>
    <n v="0"/>
    <s v="CATIVO"/>
    <n v="0"/>
    <n v="0"/>
    <n v="15"/>
    <n v="67"/>
    <n v="0"/>
    <n v="56.92"/>
    <n v="267.91000000000003"/>
    <m/>
    <n v="101.17512561425467"/>
    <n v="185.42082399535556"/>
    <n v="0"/>
    <n v="67203.364073999997"/>
    <n v="0"/>
    <n v="59293.205503643112"/>
    <x v="1"/>
  </r>
  <r>
    <s v="Regular"/>
    <x v="0"/>
    <x v="1"/>
    <x v="1"/>
    <x v="1"/>
    <x v="1"/>
    <x v="0"/>
    <x v="0"/>
    <x v="11"/>
    <n v="0"/>
    <n v="0"/>
    <n v="501.83199999999999"/>
    <n v="150.5496"/>
    <n v="501.83199999999999"/>
    <n v="150.5496"/>
    <n v="0"/>
    <s v="CATIVO"/>
    <n v="0"/>
    <n v="0"/>
    <n v="15"/>
    <n v="67"/>
    <n v="0"/>
    <n v="56.92"/>
    <n v="267.91000000000003"/>
    <m/>
    <n v="101.17512561425467"/>
    <n v="185.42082399535556"/>
    <n v="0"/>
    <n v="114107.06199200002"/>
    <n v="0"/>
    <n v="100676.11300914295"/>
    <x v="1"/>
  </r>
  <r>
    <s v="Regular"/>
    <x v="0"/>
    <x v="1"/>
    <x v="1"/>
    <x v="1"/>
    <x v="2"/>
    <x v="0"/>
    <x v="0"/>
    <x v="0"/>
    <n v="0"/>
    <n v="0"/>
    <n v="822.55100000000004"/>
    <n v="789.64895999999999"/>
    <n v="822.55100000000004"/>
    <n v="789.64895999999999"/>
    <n v="0"/>
    <s v="CATIVO"/>
    <n v="0"/>
    <n v="0"/>
    <n v="15"/>
    <n v="67"/>
    <n v="0"/>
    <n v="56.92"/>
    <n v="267.91000000000003"/>
    <m/>
    <n v="101.17512561425467"/>
    <n v="185.42082399535556"/>
    <n v="0"/>
    <n v="10687.569653200018"/>
    <n v="0"/>
    <n v="9429.5913978933968"/>
    <x v="2"/>
  </r>
  <r>
    <s v="Regular"/>
    <x v="0"/>
    <x v="1"/>
    <x v="1"/>
    <x v="1"/>
    <x v="2"/>
    <x v="0"/>
    <x v="0"/>
    <x v="1"/>
    <n v="0"/>
    <n v="0"/>
    <n v="357.52100000000002"/>
    <n v="343.22016000000002"/>
    <n v="357.52100000000002"/>
    <n v="343.22016000000002"/>
    <n v="0"/>
    <s v="CATIVO"/>
    <n v="0"/>
    <n v="0"/>
    <n v="15"/>
    <n v="67"/>
    <n v="0"/>
    <n v="56.92"/>
    <n v="267.91000000000003"/>
    <m/>
    <n v="101.17512561425467"/>
    <n v="185.42082399535556"/>
    <n v="0"/>
    <n v="4645.3418571999982"/>
    <n v="0"/>
    <n v="4098.5628200150968"/>
    <x v="2"/>
  </r>
  <r>
    <s v="Regular"/>
    <x v="0"/>
    <x v="1"/>
    <x v="1"/>
    <x v="1"/>
    <x v="2"/>
    <x v="0"/>
    <x v="0"/>
    <x v="2"/>
    <n v="0"/>
    <n v="0"/>
    <n v="145.73699999999999"/>
    <n v="139.90752000000001"/>
    <n v="145.73699999999999"/>
    <n v="139.90752000000001"/>
    <n v="0"/>
    <s v="CATIVO"/>
    <n v="0"/>
    <n v="0"/>
    <n v="15"/>
    <n v="67"/>
    <n v="0"/>
    <n v="56.92"/>
    <n v="267.91000000000003"/>
    <m/>
    <n v="101.17512561425467"/>
    <n v="185.42082399535556"/>
    <n v="0"/>
    <n v="1893.5899883999969"/>
    <n v="0"/>
    <n v="1670.7053563302277"/>
    <x v="2"/>
  </r>
  <r>
    <s v="Regular"/>
    <x v="0"/>
    <x v="1"/>
    <x v="1"/>
    <x v="1"/>
    <x v="2"/>
    <x v="0"/>
    <x v="0"/>
    <x v="3"/>
    <n v="0"/>
    <n v="0"/>
    <n v="56.844000000000001"/>
    <n v="54.570239999999998"/>
    <n v="56.844000000000001"/>
    <n v="54.570239999999998"/>
    <n v="0"/>
    <s v="CATIVO"/>
    <n v="0"/>
    <n v="0"/>
    <n v="15"/>
    <n v="67"/>
    <n v="0"/>
    <n v="56.92"/>
    <n v="267.91000000000003"/>
    <m/>
    <n v="101.17512561425467"/>
    <n v="185.42082399535556"/>
    <n v="0"/>
    <n v="738.58546080000099"/>
    <n v="0"/>
    <n v="651.65040638434812"/>
    <x v="2"/>
  </r>
  <r>
    <s v="Regular"/>
    <x v="0"/>
    <x v="1"/>
    <x v="1"/>
    <x v="1"/>
    <x v="2"/>
    <x v="0"/>
    <x v="0"/>
    <x v="4"/>
    <n v="0"/>
    <n v="0"/>
    <n v="53.448999999999998"/>
    <n v="51.311039999999998"/>
    <n v="53.448999999999998"/>
    <n v="51.311039999999998"/>
    <n v="0"/>
    <s v="CATIVO"/>
    <n v="0"/>
    <n v="0"/>
    <n v="15"/>
    <n v="67"/>
    <n v="0"/>
    <n v="56.92"/>
    <n v="267.91000000000003"/>
    <m/>
    <n v="101.17512561425467"/>
    <n v="185.42082399535556"/>
    <n v="0"/>
    <n v="694.47354679999989"/>
    <n v="0"/>
    <n v="612.73067642736214"/>
    <x v="2"/>
  </r>
  <r>
    <s v="Regular"/>
    <x v="0"/>
    <x v="1"/>
    <x v="1"/>
    <x v="1"/>
    <x v="2"/>
    <x v="0"/>
    <x v="0"/>
    <x v="5"/>
    <n v="0"/>
    <n v="0"/>
    <n v="74.162999999999997"/>
    <n v="71.196479999999994"/>
    <n v="74.162999999999997"/>
    <n v="71.196479999999994"/>
    <n v="0"/>
    <s v="CATIVO"/>
    <n v="0"/>
    <n v="0"/>
    <n v="15"/>
    <n v="67"/>
    <n v="0"/>
    <n v="56.92"/>
    <n v="267.91000000000003"/>
    <m/>
    <n v="101.17512561425467"/>
    <n v="185.42082399535556"/>
    <n v="0"/>
    <n v="963.61469160000092"/>
    <n v="0"/>
    <n v="850.19261643590175"/>
    <x v="2"/>
  </r>
  <r>
    <s v="Regular"/>
    <x v="0"/>
    <x v="1"/>
    <x v="1"/>
    <x v="1"/>
    <x v="2"/>
    <x v="0"/>
    <x v="0"/>
    <x v="6"/>
    <n v="0"/>
    <n v="0"/>
    <n v="66.212000000000003"/>
    <n v="63.563519999999997"/>
    <n v="66.212000000000003"/>
    <n v="63.563519999999997"/>
    <n v="0"/>
    <s v="CATIVO"/>
    <n v="0"/>
    <n v="0"/>
    <n v="15"/>
    <n v="67"/>
    <n v="0"/>
    <n v="56.92"/>
    <n v="267.91000000000003"/>
    <m/>
    <n v="101.17512561425467"/>
    <n v="185.42082399535556"/>
    <n v="0"/>
    <n v="860.30575840000211"/>
    <n v="0"/>
    <n v="759.0436406220623"/>
    <x v="2"/>
  </r>
  <r>
    <s v="Regular"/>
    <x v="0"/>
    <x v="1"/>
    <x v="1"/>
    <x v="1"/>
    <x v="2"/>
    <x v="0"/>
    <x v="0"/>
    <x v="7"/>
    <n v="0"/>
    <n v="0"/>
    <n v="178.85499999999999"/>
    <n v="171.70079999999999"/>
    <n v="178.85499999999999"/>
    <n v="171.70079999999999"/>
    <n v="0"/>
    <s v="CATIVO"/>
    <n v="0"/>
    <n v="0"/>
    <n v="15"/>
    <n v="67"/>
    <n v="0"/>
    <n v="56.92"/>
    <n v="267.91000000000003"/>
    <m/>
    <n v="101.17512561425467"/>
    <n v="185.42082399535556"/>
    <n v="0"/>
    <n v="2323.8987860000011"/>
    <n v="0"/>
    <n v="2050.3647426970742"/>
    <x v="2"/>
  </r>
  <r>
    <s v="Regular"/>
    <x v="0"/>
    <x v="1"/>
    <x v="1"/>
    <x v="1"/>
    <x v="2"/>
    <x v="0"/>
    <x v="0"/>
    <x v="8"/>
    <n v="0"/>
    <n v="0"/>
    <n v="468.88299999999998"/>
    <n v="450.12768"/>
    <n v="468.88299999999998"/>
    <n v="450.12768"/>
    <n v="0"/>
    <s v="CATIVO"/>
    <n v="0"/>
    <n v="0"/>
    <n v="15"/>
    <n v="67"/>
    <n v="0"/>
    <n v="56.92"/>
    <n v="267.91000000000003"/>
    <m/>
    <n v="101.17512561425467"/>
    <n v="185.42082399535556"/>
    <n v="0"/>
    <n v="6092.290595599995"/>
    <n v="0"/>
    <n v="5375.1987456321103"/>
    <x v="2"/>
  </r>
  <r>
    <s v="Regular"/>
    <x v="0"/>
    <x v="1"/>
    <x v="1"/>
    <x v="1"/>
    <x v="2"/>
    <x v="0"/>
    <x v="0"/>
    <x v="9"/>
    <n v="0"/>
    <n v="0"/>
    <n v="106.05"/>
    <n v="101.80800000000001"/>
    <n v="106.05"/>
    <n v="101.80800000000001"/>
    <n v="0"/>
    <s v="CATIVO"/>
    <n v="0"/>
    <n v="0"/>
    <n v="15"/>
    <n v="67"/>
    <n v="0"/>
    <n v="56.92"/>
    <n v="267.91000000000003"/>
    <m/>
    <n v="101.17512561425467"/>
    <n v="185.42082399535556"/>
    <n v="0"/>
    <n v="1377.928859999997"/>
    <n v="0"/>
    <n v="1215.7400182439637"/>
    <x v="2"/>
  </r>
  <r>
    <s v="Regular"/>
    <x v="0"/>
    <x v="1"/>
    <x v="1"/>
    <x v="1"/>
    <x v="2"/>
    <x v="0"/>
    <x v="0"/>
    <x v="10"/>
    <n v="0"/>
    <n v="0"/>
    <n v="361.17"/>
    <n v="346.72320000000002"/>
    <n v="361.17"/>
    <n v="346.72320000000002"/>
    <n v="0"/>
    <s v="CATIVO"/>
    <n v="0"/>
    <n v="0"/>
    <n v="15"/>
    <n v="67"/>
    <n v="0"/>
    <n v="56.92"/>
    <n v="267.91000000000003"/>
    <m/>
    <n v="101.17512561425467"/>
    <n v="185.42082399535556"/>
    <n v="0"/>
    <n v="4692.7540439999993"/>
    <n v="0"/>
    <n v="4140.3943648201157"/>
    <x v="2"/>
  </r>
  <r>
    <s v="Regular"/>
    <x v="0"/>
    <x v="1"/>
    <x v="1"/>
    <x v="1"/>
    <x v="2"/>
    <x v="0"/>
    <x v="0"/>
    <x v="11"/>
    <n v="0"/>
    <n v="0"/>
    <n v="668.76499999999999"/>
    <n v="642.01440000000002"/>
    <n v="668.76499999999999"/>
    <n v="642.01440000000002"/>
    <n v="0"/>
    <s v="CATIVO"/>
    <n v="0"/>
    <n v="0"/>
    <n v="15"/>
    <n v="67"/>
    <n v="0"/>
    <n v="56.92"/>
    <n v="267.91000000000003"/>
    <m/>
    <n v="101.17512561425467"/>
    <n v="185.42082399535556"/>
    <n v="0"/>
    <n v="8689.3973979999901"/>
    <n v="0"/>
    <n v="7666.6136096268292"/>
    <x v="2"/>
  </r>
  <r>
    <s v="Regular"/>
    <x v="0"/>
    <x v="1"/>
    <x v="1"/>
    <x v="1"/>
    <x v="2"/>
    <x v="0"/>
    <x v="1"/>
    <x v="0"/>
    <n v="3715"/>
    <n v="3566.4"/>
    <n v="0"/>
    <n v="0"/>
    <n v="0"/>
    <n v="0"/>
    <n v="11"/>
    <s v="CATIVO"/>
    <n v="0"/>
    <n v="22"/>
    <n v="0"/>
    <n v="0"/>
    <n v="22.34"/>
    <n v="0"/>
    <n v="0"/>
    <n v="30.26225635308667"/>
    <m/>
    <m/>
    <n v="3319.7239999999979"/>
    <n v="0"/>
    <n v="4496.9712940686768"/>
    <n v="0"/>
    <x v="2"/>
  </r>
  <r>
    <s v="Regular"/>
    <x v="0"/>
    <x v="1"/>
    <x v="1"/>
    <x v="1"/>
    <x v="2"/>
    <x v="0"/>
    <x v="1"/>
    <x v="1"/>
    <n v="4452"/>
    <n v="4273.92"/>
    <n v="0"/>
    <n v="0"/>
    <n v="0"/>
    <n v="0"/>
    <n v="11"/>
    <s v="CATIVO"/>
    <n v="0"/>
    <n v="22"/>
    <n v="0"/>
    <n v="0"/>
    <n v="22.34"/>
    <n v="0"/>
    <n v="0"/>
    <n v="30.26225635308667"/>
    <m/>
    <m/>
    <n v="3978.3071999999984"/>
    <n v="0"/>
    <n v="5389.1026113576718"/>
    <n v="0"/>
    <x v="2"/>
  </r>
  <r>
    <s v="Regular"/>
    <x v="0"/>
    <x v="1"/>
    <x v="1"/>
    <x v="1"/>
    <x v="2"/>
    <x v="0"/>
    <x v="1"/>
    <x v="2"/>
    <n v="2411"/>
    <n v="2314.56"/>
    <n v="0"/>
    <n v="0"/>
    <n v="0"/>
    <n v="0"/>
    <n v="11"/>
    <s v="CATIVO"/>
    <n v="0"/>
    <n v="22"/>
    <n v="0"/>
    <n v="0"/>
    <n v="22.34"/>
    <n v="0"/>
    <n v="0"/>
    <n v="30.26225635308667"/>
    <m/>
    <m/>
    <n v="2154.4696000000013"/>
    <n v="0"/>
    <n v="2918.4920026916802"/>
    <n v="0"/>
    <x v="2"/>
  </r>
  <r>
    <s v="Regular"/>
    <x v="0"/>
    <x v="1"/>
    <x v="1"/>
    <x v="1"/>
    <x v="2"/>
    <x v="0"/>
    <x v="1"/>
    <x v="3"/>
    <n v="1746"/>
    <n v="1676.16"/>
    <n v="0"/>
    <n v="0"/>
    <n v="0"/>
    <n v="0"/>
    <n v="11"/>
    <s v="CATIVO"/>
    <n v="0"/>
    <n v="22"/>
    <n v="0"/>
    <n v="0"/>
    <n v="22.34"/>
    <n v="0"/>
    <n v="0"/>
    <n v="30.26225635308667"/>
    <m/>
    <m/>
    <n v="1560.2255999999982"/>
    <n v="0"/>
    <n v="2113.5159836995704"/>
    <n v="0"/>
    <x v="2"/>
  </r>
  <r>
    <s v="Regular"/>
    <x v="0"/>
    <x v="1"/>
    <x v="1"/>
    <x v="1"/>
    <x v="2"/>
    <x v="0"/>
    <x v="1"/>
    <x v="4"/>
    <n v="1637"/>
    <n v="1571.52"/>
    <n v="0"/>
    <n v="0"/>
    <n v="0"/>
    <n v="0"/>
    <n v="11"/>
    <s v="CATIVO"/>
    <n v="0"/>
    <n v="22"/>
    <n v="0"/>
    <n v="0"/>
    <n v="22.34"/>
    <n v="0"/>
    <n v="0"/>
    <n v="30.26225635308667"/>
    <m/>
    <m/>
    <n v="1462.8232000000005"/>
    <n v="0"/>
    <n v="1981.5725460001156"/>
    <n v="0"/>
    <x v="2"/>
  </r>
  <r>
    <s v="Regular"/>
    <x v="0"/>
    <x v="1"/>
    <x v="1"/>
    <x v="1"/>
    <x v="2"/>
    <x v="0"/>
    <x v="1"/>
    <x v="5"/>
    <n v="1986"/>
    <n v="1906.56"/>
    <n v="0"/>
    <n v="0"/>
    <n v="0"/>
    <n v="0"/>
    <n v="11"/>
    <s v="CATIVO"/>
    <n v="0"/>
    <n v="22"/>
    <n v="0"/>
    <n v="0"/>
    <n v="22.34"/>
    <n v="0"/>
    <n v="0"/>
    <n v="30.26225635308667"/>
    <m/>
    <m/>
    <n v="1774.6896000000013"/>
    <n v="0"/>
    <n v="2404.0336446892065"/>
    <n v="0"/>
    <x v="2"/>
  </r>
  <r>
    <s v="Regular"/>
    <x v="0"/>
    <x v="1"/>
    <x v="1"/>
    <x v="1"/>
    <x v="2"/>
    <x v="0"/>
    <x v="1"/>
    <x v="6"/>
    <n v="1575"/>
    <n v="1512"/>
    <n v="0"/>
    <n v="0"/>
    <n v="0"/>
    <n v="0"/>
    <n v="10"/>
    <s v="CATIVO"/>
    <n v="0"/>
    <n v="22"/>
    <n v="0"/>
    <n v="0"/>
    <n v="22.34"/>
    <n v="0"/>
    <n v="0"/>
    <n v="30.26225635308667"/>
    <m/>
    <m/>
    <n v="1407.42"/>
    <n v="0"/>
    <n v="1906.5221502444601"/>
    <n v="0"/>
    <x v="2"/>
  </r>
  <r>
    <s v="Regular"/>
    <x v="0"/>
    <x v="1"/>
    <x v="1"/>
    <x v="1"/>
    <x v="2"/>
    <x v="0"/>
    <x v="1"/>
    <x v="7"/>
    <n v="2641"/>
    <n v="2535.36"/>
    <n v="0"/>
    <n v="0"/>
    <n v="0"/>
    <n v="0"/>
    <n v="10"/>
    <s v="CATIVO"/>
    <n v="0"/>
    <n v="22"/>
    <n v="0"/>
    <n v="0"/>
    <n v="22.34"/>
    <n v="0"/>
    <n v="0"/>
    <n v="30.26225635308667"/>
    <m/>
    <m/>
    <n v="2359.997599999997"/>
    <n v="0"/>
    <n v="3196.904761140072"/>
    <n v="0"/>
    <x v="2"/>
  </r>
  <r>
    <s v="Regular"/>
    <x v="0"/>
    <x v="1"/>
    <x v="1"/>
    <x v="1"/>
    <x v="2"/>
    <x v="0"/>
    <x v="1"/>
    <x v="8"/>
    <n v="3773"/>
    <n v="3622.08"/>
    <n v="0"/>
    <n v="0"/>
    <n v="0"/>
    <n v="0"/>
    <n v="11"/>
    <s v="CATIVO"/>
    <n v="0"/>
    <n v="22"/>
    <n v="0"/>
    <n v="0"/>
    <n v="22.34"/>
    <n v="0"/>
    <n v="0"/>
    <n v="30.26225635308667"/>
    <m/>
    <m/>
    <n v="3371.5528000000018"/>
    <n v="0"/>
    <n v="4567.1797288078424"/>
    <n v="0"/>
    <x v="2"/>
  </r>
  <r>
    <s v="Regular"/>
    <x v="0"/>
    <x v="1"/>
    <x v="1"/>
    <x v="1"/>
    <x v="2"/>
    <x v="0"/>
    <x v="1"/>
    <x v="9"/>
    <n v="3144"/>
    <n v="3018.24"/>
    <n v="0"/>
    <n v="0"/>
    <n v="0"/>
    <n v="0"/>
    <n v="11"/>
    <s v="CATIVO"/>
    <n v="0"/>
    <n v="22"/>
    <n v="0"/>
    <n v="0"/>
    <n v="22.34"/>
    <n v="0"/>
    <n v="0"/>
    <n v="30.26225635308667"/>
    <m/>
    <m/>
    <n v="2809.478400000005"/>
    <n v="0"/>
    <n v="3805.7813589641864"/>
    <n v="0"/>
    <x v="2"/>
  </r>
  <r>
    <s v="Regular"/>
    <x v="0"/>
    <x v="1"/>
    <x v="1"/>
    <x v="1"/>
    <x v="2"/>
    <x v="0"/>
    <x v="1"/>
    <x v="10"/>
    <n v="3147"/>
    <n v="3021.12"/>
    <n v="0"/>
    <n v="0"/>
    <n v="0"/>
    <n v="0"/>
    <n v="11"/>
    <s v="CATIVO"/>
    <n v="0"/>
    <n v="22"/>
    <n v="0"/>
    <n v="0"/>
    <n v="22.34"/>
    <n v="0"/>
    <n v="0"/>
    <n v="30.26225635308667"/>
    <m/>
    <m/>
    <n v="2812.1592000000023"/>
    <n v="0"/>
    <n v="3809.4128297265534"/>
    <n v="0"/>
    <x v="2"/>
  </r>
  <r>
    <s v="Regular"/>
    <x v="0"/>
    <x v="1"/>
    <x v="1"/>
    <x v="1"/>
    <x v="2"/>
    <x v="0"/>
    <x v="1"/>
    <x v="11"/>
    <n v="3975"/>
    <n v="3816"/>
    <n v="0"/>
    <n v="0"/>
    <n v="0"/>
    <n v="0"/>
    <n v="11"/>
    <s v="CATIVO"/>
    <n v="0"/>
    <n v="22"/>
    <n v="0"/>
    <n v="0"/>
    <n v="22.34"/>
    <n v="0"/>
    <n v="0"/>
    <n v="30.26225635308667"/>
    <m/>
    <m/>
    <n v="3552.06"/>
    <n v="0"/>
    <n v="4811.6987601407809"/>
    <n v="0"/>
    <x v="2"/>
  </r>
  <r>
    <s v="Regular"/>
    <x v="0"/>
    <x v="1"/>
    <x v="1"/>
    <x v="1"/>
    <x v="2"/>
    <x v="0"/>
    <x v="2"/>
    <x v="0"/>
    <n v="0"/>
    <n v="0"/>
    <n v="11.597"/>
    <n v="11.13312"/>
    <n v="11.597"/>
    <n v="11.13312"/>
    <n v="0"/>
    <s v="CATIVO"/>
    <n v="0"/>
    <n v="0"/>
    <n v="33"/>
    <n v="51"/>
    <n v="0"/>
    <n v="1936.94"/>
    <n v="267.91000000000003"/>
    <m/>
    <n v="2334.812641231822"/>
    <n v="185.42082399535556"/>
    <n v="0"/>
    <n v="1022.7858179999992"/>
    <n v="0"/>
    <n v="1169.0858998495821"/>
    <x v="2"/>
  </r>
  <r>
    <s v="Regular"/>
    <x v="0"/>
    <x v="1"/>
    <x v="1"/>
    <x v="1"/>
    <x v="2"/>
    <x v="0"/>
    <x v="2"/>
    <x v="1"/>
    <n v="0"/>
    <n v="0"/>
    <n v="15.912000000000001"/>
    <n v="15.27552"/>
    <n v="15.912000000000001"/>
    <n v="15.27552"/>
    <n v="0"/>
    <s v="CATIVO"/>
    <n v="0"/>
    <n v="0"/>
    <n v="33"/>
    <n v="51"/>
    <n v="0"/>
    <n v="1936.94"/>
    <n v="267.91000000000003"/>
    <m/>
    <n v="2334.812641231822"/>
    <n v="185.42082399535556"/>
    <n v="0"/>
    <n v="1403.3429280000014"/>
    <n v="0"/>
    <n v="1604.0781959477954"/>
    <x v="2"/>
  </r>
  <r>
    <s v="Regular"/>
    <x v="0"/>
    <x v="1"/>
    <x v="1"/>
    <x v="1"/>
    <x v="2"/>
    <x v="0"/>
    <x v="2"/>
    <x v="2"/>
    <n v="0"/>
    <n v="0"/>
    <n v="8.5220000000000002"/>
    <n v="8.1811199999999999"/>
    <n v="8.5220000000000002"/>
    <n v="8.1811199999999999"/>
    <n v="0"/>
    <s v="CATIVO"/>
    <n v="0"/>
    <n v="0"/>
    <n v="33"/>
    <n v="51"/>
    <n v="0"/>
    <n v="1936.94"/>
    <n v="267.91000000000003"/>
    <m/>
    <n v="2334.812641231822"/>
    <n v="185.42082399535556"/>
    <n v="0"/>
    <n v="751.58926800000063"/>
    <n v="0"/>
    <n v="859.09718362664103"/>
    <x v="2"/>
  </r>
  <r>
    <s v="Regular"/>
    <x v="0"/>
    <x v="1"/>
    <x v="1"/>
    <x v="1"/>
    <x v="2"/>
    <x v="0"/>
    <x v="2"/>
    <x v="3"/>
    <n v="0"/>
    <n v="0"/>
    <n v="3.88"/>
    <n v="3.7248000000000001"/>
    <n v="3.88"/>
    <n v="3.7248000000000001"/>
    <n v="0"/>
    <s v="CATIVO"/>
    <n v="0"/>
    <n v="0"/>
    <n v="33"/>
    <n v="51"/>
    <n v="0"/>
    <n v="1936.94"/>
    <n v="267.91000000000003"/>
    <m/>
    <n v="2334.812641231822"/>
    <n v="185.42082399535556"/>
    <n v="0"/>
    <n v="342.19271999999955"/>
    <n v="0"/>
    <n v="391.14023380325744"/>
    <x v="2"/>
  </r>
  <r>
    <s v="Regular"/>
    <x v="0"/>
    <x v="1"/>
    <x v="1"/>
    <x v="1"/>
    <x v="2"/>
    <x v="0"/>
    <x v="2"/>
    <x v="4"/>
    <n v="0"/>
    <n v="0"/>
    <n v="4.8959999999999999"/>
    <n v="4.7001600000000003"/>
    <n v="4.8959999999999999"/>
    <n v="4.7001600000000003"/>
    <n v="0"/>
    <s v="CATIVO"/>
    <n v="0"/>
    <n v="0"/>
    <n v="33"/>
    <n v="51"/>
    <n v="0"/>
    <n v="1936.94"/>
    <n v="267.91000000000003"/>
    <m/>
    <n v="2334.812641231822"/>
    <n v="185.42082399535556"/>
    <n v="0"/>
    <n v="431.79782399999908"/>
    <n v="0"/>
    <n v="493.56252183008939"/>
    <x v="2"/>
  </r>
  <r>
    <s v="Regular"/>
    <x v="0"/>
    <x v="1"/>
    <x v="1"/>
    <x v="1"/>
    <x v="2"/>
    <x v="0"/>
    <x v="2"/>
    <x v="5"/>
    <n v="0"/>
    <n v="0"/>
    <n v="5.0060000000000002"/>
    <n v="4.8057600000000003"/>
    <n v="5.0060000000000002"/>
    <n v="4.8057600000000003"/>
    <n v="0"/>
    <s v="CATIVO"/>
    <n v="0"/>
    <n v="0"/>
    <n v="33"/>
    <n v="51"/>
    <n v="0"/>
    <n v="1936.94"/>
    <n v="267.91000000000003"/>
    <m/>
    <n v="2334.812641231822"/>
    <n v="185.42082399535556"/>
    <n v="0"/>
    <n v="441.49916399999995"/>
    <n v="0"/>
    <n v="504.65154907708995"/>
    <x v="2"/>
  </r>
  <r>
    <s v="Regular"/>
    <x v="0"/>
    <x v="1"/>
    <x v="1"/>
    <x v="1"/>
    <x v="2"/>
    <x v="0"/>
    <x v="2"/>
    <x v="6"/>
    <n v="0"/>
    <n v="0"/>
    <n v="3.8980000000000001"/>
    <n v="3.7420800000000001"/>
    <n v="3.8980000000000001"/>
    <n v="3.7420800000000001"/>
    <n v="0"/>
    <s v="CATIVO"/>
    <n v="0"/>
    <n v="0"/>
    <n v="33"/>
    <n v="51"/>
    <n v="0"/>
    <n v="1936.94"/>
    <n v="267.91000000000003"/>
    <m/>
    <n v="2334.812641231822"/>
    <n v="185.42082399535556"/>
    <n v="0"/>
    <n v="343.78021200000012"/>
    <n v="0"/>
    <n v="392.95480189822166"/>
    <x v="2"/>
  </r>
  <r>
    <s v="Regular"/>
    <x v="0"/>
    <x v="1"/>
    <x v="1"/>
    <x v="1"/>
    <x v="2"/>
    <x v="0"/>
    <x v="2"/>
    <x v="7"/>
    <n v="0"/>
    <n v="0"/>
    <n v="4.7699999999999996"/>
    <n v="4.5792000000000002"/>
    <n v="4.7699999999999996"/>
    <n v="4.5792000000000002"/>
    <n v="0"/>
    <s v="CATIVO"/>
    <n v="0"/>
    <n v="0"/>
    <n v="33"/>
    <n v="51"/>
    <n v="0"/>
    <n v="1936.94"/>
    <n v="267.91000000000003"/>
    <m/>
    <n v="2334.812641231822"/>
    <n v="185.42082399535556"/>
    <n v="0"/>
    <n v="420.6853799999987"/>
    <n v="0"/>
    <n v="480.86054516534398"/>
    <x v="2"/>
  </r>
  <r>
    <s v="Regular"/>
    <x v="0"/>
    <x v="1"/>
    <x v="1"/>
    <x v="1"/>
    <x v="2"/>
    <x v="0"/>
    <x v="2"/>
    <x v="8"/>
    <n v="0"/>
    <n v="0"/>
    <n v="4.7590000000000003"/>
    <n v="4.5686400000000003"/>
    <n v="4.7590000000000003"/>
    <n v="4.5686400000000003"/>
    <n v="0"/>
    <s v="CATIVO"/>
    <n v="0"/>
    <n v="0"/>
    <n v="33"/>
    <n v="51"/>
    <n v="0"/>
    <n v="1936.94"/>
    <n v="267.91000000000003"/>
    <m/>
    <n v="2334.812641231822"/>
    <n v="185.42082399535556"/>
    <n v="0"/>
    <n v="419.71524600000021"/>
    <n v="0"/>
    <n v="479.75164244064575"/>
    <x v="2"/>
  </r>
  <r>
    <s v="Regular"/>
    <x v="0"/>
    <x v="1"/>
    <x v="1"/>
    <x v="1"/>
    <x v="2"/>
    <x v="0"/>
    <x v="2"/>
    <x v="9"/>
    <n v="0"/>
    <n v="0"/>
    <n v="4.8280000000000003"/>
    <n v="4.6348799999999999"/>
    <n v="4.8280000000000003"/>
    <n v="4.6348799999999999"/>
    <n v="0"/>
    <s v="CATIVO"/>
    <n v="0"/>
    <n v="0"/>
    <n v="33"/>
    <n v="51"/>
    <n v="0"/>
    <n v="1936.94"/>
    <n v="267.91000000000003"/>
    <m/>
    <n v="2334.812641231822"/>
    <n v="185.42082399535556"/>
    <n v="0"/>
    <n v="425.80063200000092"/>
    <n v="0"/>
    <n v="486.70748680467352"/>
    <x v="2"/>
  </r>
  <r>
    <s v="Regular"/>
    <x v="0"/>
    <x v="1"/>
    <x v="1"/>
    <x v="1"/>
    <x v="2"/>
    <x v="0"/>
    <x v="2"/>
    <x v="10"/>
    <n v="0"/>
    <n v="0"/>
    <n v="6.4169999999999998"/>
    <n v="6.1603199999999996"/>
    <n v="6.4169999999999998"/>
    <n v="6.1603199999999996"/>
    <n v="0"/>
    <s v="CATIVO"/>
    <n v="0"/>
    <n v="0"/>
    <n v="33"/>
    <n v="51"/>
    <n v="0"/>
    <n v="1936.94"/>
    <n v="267.91000000000003"/>
    <m/>
    <n v="2334.812641231822"/>
    <n v="185.42082399535556"/>
    <n v="0"/>
    <n v="565.94089800000052"/>
    <n v="0"/>
    <n v="646.89352585451252"/>
    <x v="2"/>
  </r>
  <r>
    <s v="Regular"/>
    <x v="0"/>
    <x v="1"/>
    <x v="1"/>
    <x v="1"/>
    <x v="2"/>
    <x v="0"/>
    <x v="2"/>
    <x v="11"/>
    <n v="0"/>
    <n v="0"/>
    <n v="17.626000000000001"/>
    <n v="16.920960000000001"/>
    <n v="17.626000000000001"/>
    <n v="16.920960000000001"/>
    <n v="0"/>
    <s v="CATIVO"/>
    <n v="0"/>
    <n v="0"/>
    <n v="33"/>
    <n v="51"/>
    <n v="0"/>
    <n v="1936.94"/>
    <n v="267.91000000000003"/>
    <m/>
    <n v="2334.812641231822"/>
    <n v="185.42082399535556"/>
    <n v="0"/>
    <n v="1554.5074440000008"/>
    <n v="0"/>
    <n v="1776.86540232377"/>
    <x v="2"/>
  </r>
  <r>
    <s v="Regular"/>
    <x v="0"/>
    <x v="1"/>
    <x v="1"/>
    <x v="0"/>
    <x v="2"/>
    <x v="0"/>
    <x v="0"/>
    <x v="0"/>
    <n v="0"/>
    <n v="0"/>
    <n v="48.719000000000001"/>
    <n v="46.770240000000001"/>
    <n v="48.719000000000001"/>
    <n v="46.770240000000001"/>
    <n v="0"/>
    <s v="CATIVO"/>
    <n v="0"/>
    <n v="0"/>
    <n v="15"/>
    <n v="67"/>
    <n v="0"/>
    <n v="56.92"/>
    <n v="267.91000000000003"/>
    <m/>
    <n v="101.17512561425467"/>
    <n v="185.42082399535556"/>
    <n v="0"/>
    <n v="633.01571080000008"/>
    <n v="0"/>
    <n v="558.50672276122407"/>
    <x v="2"/>
  </r>
  <r>
    <s v="Regular"/>
    <x v="0"/>
    <x v="1"/>
    <x v="1"/>
    <x v="0"/>
    <x v="2"/>
    <x v="0"/>
    <x v="0"/>
    <x v="1"/>
    <n v="0"/>
    <n v="0"/>
    <n v="18.87"/>
    <n v="18.115200000000002"/>
    <n v="18.87"/>
    <n v="18.115200000000002"/>
    <n v="0"/>
    <s v="CATIVO"/>
    <n v="0"/>
    <n v="0"/>
    <n v="15"/>
    <n v="67"/>
    <n v="0"/>
    <n v="56.92"/>
    <n v="267.91000000000003"/>
    <m/>
    <n v="101.17512561425467"/>
    <n v="185.42082399535556"/>
    <n v="0"/>
    <n v="245.18168399999985"/>
    <n v="0"/>
    <n v="216.32262276533368"/>
    <x v="2"/>
  </r>
  <r>
    <s v="Regular"/>
    <x v="0"/>
    <x v="1"/>
    <x v="1"/>
    <x v="0"/>
    <x v="2"/>
    <x v="0"/>
    <x v="0"/>
    <x v="2"/>
    <n v="0"/>
    <n v="0"/>
    <n v="16.084"/>
    <n v="15.44064"/>
    <n v="16.084"/>
    <n v="15.44064"/>
    <n v="0"/>
    <s v="CATIVO"/>
    <n v="0"/>
    <n v="0"/>
    <n v="15"/>
    <n v="67"/>
    <n v="0"/>
    <n v="56.92"/>
    <n v="267.91000000000003"/>
    <m/>
    <n v="101.17512561425467"/>
    <n v="185.42082399535556"/>
    <n v="0"/>
    <n v="208.98262879999984"/>
    <n v="0"/>
    <n v="184.38437014083871"/>
    <x v="2"/>
  </r>
  <r>
    <s v="Regular"/>
    <x v="0"/>
    <x v="1"/>
    <x v="1"/>
    <x v="0"/>
    <x v="2"/>
    <x v="0"/>
    <x v="0"/>
    <x v="3"/>
    <n v="0"/>
    <n v="0"/>
    <n v="15.750999999999999"/>
    <n v="15.12096"/>
    <n v="15.750999999999999"/>
    <n v="15.12096"/>
    <n v="0"/>
    <s v="CATIVO"/>
    <n v="0"/>
    <n v="0"/>
    <n v="15"/>
    <n v="67"/>
    <n v="0"/>
    <n v="56.92"/>
    <n v="267.91000000000003"/>
    <m/>
    <n v="101.17512561425467"/>
    <n v="185.42082399535556"/>
    <n v="0"/>
    <n v="204.65589319999981"/>
    <n v="0"/>
    <n v="180.56691209203862"/>
    <x v="2"/>
  </r>
  <r>
    <s v="Regular"/>
    <x v="0"/>
    <x v="1"/>
    <x v="1"/>
    <x v="0"/>
    <x v="2"/>
    <x v="0"/>
    <x v="0"/>
    <x v="4"/>
    <n v="0"/>
    <n v="0"/>
    <n v="14.541"/>
    <n v="13.95936"/>
    <n v="14.541"/>
    <n v="13.95936"/>
    <n v="0"/>
    <s v="CATIVO"/>
    <n v="0"/>
    <n v="0"/>
    <n v="15"/>
    <n v="67"/>
    <n v="0"/>
    <n v="56.92"/>
    <n v="267.91000000000003"/>
    <m/>
    <n v="101.17512561425467"/>
    <n v="185.42082399535556"/>
    <n v="0"/>
    <n v="188.93412120000005"/>
    <n v="0"/>
    <n v="166.69566813093374"/>
    <x v="2"/>
  </r>
  <r>
    <s v="Regular"/>
    <x v="0"/>
    <x v="1"/>
    <x v="1"/>
    <x v="0"/>
    <x v="2"/>
    <x v="0"/>
    <x v="0"/>
    <x v="5"/>
    <n v="0"/>
    <n v="0"/>
    <n v="14.173"/>
    <n v="13.60608"/>
    <n v="14.173"/>
    <n v="13.60608"/>
    <n v="0"/>
    <s v="CATIVO"/>
    <n v="0"/>
    <n v="0"/>
    <n v="15"/>
    <n v="67"/>
    <n v="0"/>
    <n v="56.92"/>
    <n v="267.91000000000003"/>
    <m/>
    <n v="101.17512561425467"/>
    <n v="185.42082399535556"/>
    <n v="0"/>
    <n v="184.15262359999991"/>
    <n v="0"/>
    <n v="162.47697575268012"/>
    <x v="2"/>
  </r>
  <r>
    <s v="Regular"/>
    <x v="0"/>
    <x v="1"/>
    <x v="1"/>
    <x v="0"/>
    <x v="2"/>
    <x v="0"/>
    <x v="0"/>
    <x v="6"/>
    <n v="0"/>
    <n v="0"/>
    <n v="17.863"/>
    <n v="17.148479999999999"/>
    <n v="17.863"/>
    <n v="17.148479999999999"/>
    <n v="0"/>
    <s v="CATIVO"/>
    <n v="0"/>
    <n v="0"/>
    <n v="15"/>
    <n v="67"/>
    <n v="0"/>
    <n v="56.92"/>
    <n v="267.91000000000003"/>
    <m/>
    <n v="101.17512561425467"/>
    <n v="185.42082399535556"/>
    <n v="0"/>
    <n v="232.09753160000011"/>
    <n v="0"/>
    <n v="204.77853791505879"/>
    <x v="2"/>
  </r>
  <r>
    <s v="Regular"/>
    <x v="0"/>
    <x v="1"/>
    <x v="1"/>
    <x v="0"/>
    <x v="2"/>
    <x v="0"/>
    <x v="0"/>
    <x v="7"/>
    <n v="0"/>
    <n v="0"/>
    <n v="14.571"/>
    <n v="13.988160000000001"/>
    <n v="14.571"/>
    <n v="13.988160000000001"/>
    <n v="0"/>
    <s v="CATIVO"/>
    <n v="0"/>
    <n v="0"/>
    <n v="15"/>
    <n v="67"/>
    <n v="0"/>
    <n v="56.92"/>
    <n v="267.91000000000003"/>
    <m/>
    <n v="101.17512561425467"/>
    <n v="185.42082399535556"/>
    <n v="0"/>
    <n v="189.32391719999973"/>
    <n v="0"/>
    <n v="167.03958327046499"/>
    <x v="2"/>
  </r>
  <r>
    <s v="Regular"/>
    <x v="0"/>
    <x v="1"/>
    <x v="1"/>
    <x v="0"/>
    <x v="2"/>
    <x v="0"/>
    <x v="0"/>
    <x v="8"/>
    <n v="0"/>
    <n v="0"/>
    <n v="71.816999999999993"/>
    <n v="68.944320000000005"/>
    <n v="71.816999999999993"/>
    <n v="68.944320000000005"/>
    <n v="0"/>
    <s v="CATIVO"/>
    <n v="0"/>
    <n v="0"/>
    <n v="15"/>
    <n v="67"/>
    <n v="0"/>
    <n v="56.92"/>
    <n v="267.91000000000003"/>
    <m/>
    <n v="101.17512561425467"/>
    <n v="185.42082399535556"/>
    <n v="0"/>
    <n v="933.13264439999625"/>
    <n v="0"/>
    <n v="823.29845252453174"/>
    <x v="2"/>
  </r>
  <r>
    <s v="Regular"/>
    <x v="0"/>
    <x v="1"/>
    <x v="1"/>
    <x v="0"/>
    <x v="2"/>
    <x v="0"/>
    <x v="0"/>
    <x v="9"/>
    <n v="0"/>
    <n v="0"/>
    <n v="86.54"/>
    <n v="83.078400000000002"/>
    <n v="86.54"/>
    <n v="83.078400000000002"/>
    <n v="0"/>
    <s v="CATIVO"/>
    <n v="0"/>
    <n v="0"/>
    <n v="15"/>
    <n v="67"/>
    <n v="0"/>
    <n v="56.92"/>
    <n v="267.91000000000003"/>
    <m/>
    <n v="101.17512561425467"/>
    <n v="185.42082399535556"/>
    <n v="0"/>
    <n v="1124.4315280000014"/>
    <n v="0"/>
    <n v="992.08053916862809"/>
    <x v="2"/>
  </r>
  <r>
    <s v="Regular"/>
    <x v="0"/>
    <x v="1"/>
    <x v="1"/>
    <x v="0"/>
    <x v="2"/>
    <x v="0"/>
    <x v="0"/>
    <x v="10"/>
    <n v="0"/>
    <n v="0"/>
    <n v="71.212999999999994"/>
    <n v="68.36448"/>
    <n v="71.212999999999994"/>
    <n v="68.36448"/>
    <n v="0"/>
    <s v="CATIVO"/>
    <n v="0"/>
    <n v="0"/>
    <n v="15"/>
    <n v="67"/>
    <n v="0"/>
    <n v="56.92"/>
    <n v="267.91000000000003"/>
    <m/>
    <n v="101.17512561425467"/>
    <n v="185.42082399535556"/>
    <n v="0"/>
    <n v="925.28475159999789"/>
    <n v="0"/>
    <n v="816.374294381965"/>
    <x v="2"/>
  </r>
  <r>
    <s v="Regular"/>
    <x v="0"/>
    <x v="1"/>
    <x v="1"/>
    <x v="0"/>
    <x v="2"/>
    <x v="0"/>
    <x v="0"/>
    <x v="11"/>
    <n v="0"/>
    <n v="0"/>
    <n v="71.887"/>
    <n v="69.011520000000004"/>
    <n v="71.887"/>
    <n v="69.011520000000004"/>
    <n v="0"/>
    <s v="CATIVO"/>
    <n v="0"/>
    <n v="0"/>
    <n v="15"/>
    <n v="67"/>
    <n v="0"/>
    <n v="56.92"/>
    <n v="267.91000000000003"/>
    <m/>
    <n v="101.17512561425467"/>
    <n v="185.42082399535556"/>
    <n v="0"/>
    <n v="934.04216839999879"/>
    <n v="0"/>
    <n v="824.10092118344096"/>
    <x v="2"/>
  </r>
  <r>
    <s v="Regular"/>
    <x v="0"/>
    <x v="1"/>
    <x v="1"/>
    <x v="0"/>
    <x v="2"/>
    <x v="0"/>
    <x v="1"/>
    <x v="0"/>
    <n v="283"/>
    <n v="271.68"/>
    <n v="0"/>
    <n v="0"/>
    <n v="0"/>
    <n v="0"/>
    <n v="3"/>
    <s v="CATIVO"/>
    <n v="0"/>
    <n v="22"/>
    <n v="0"/>
    <n v="0"/>
    <n v="22.34"/>
    <n v="0"/>
    <n v="0"/>
    <n v="30.26225635308667"/>
    <m/>
    <m/>
    <n v="252.88879999999983"/>
    <n v="0"/>
    <n v="342.56874191694089"/>
    <n v="0"/>
    <x v="2"/>
  </r>
  <r>
    <s v="Regular"/>
    <x v="0"/>
    <x v="1"/>
    <x v="1"/>
    <x v="0"/>
    <x v="2"/>
    <x v="0"/>
    <x v="1"/>
    <x v="1"/>
    <n v="240"/>
    <n v="230.4"/>
    <n v="0"/>
    <n v="0"/>
    <n v="0"/>
    <n v="0"/>
    <n v="3"/>
    <s v="CATIVO"/>
    <n v="0"/>
    <n v="22"/>
    <n v="0"/>
    <n v="0"/>
    <n v="22.34"/>
    <n v="0"/>
    <n v="0"/>
    <n v="30.26225635308667"/>
    <m/>
    <m/>
    <n v="214.46399999999988"/>
    <n v="0"/>
    <n v="290.51766098963185"/>
    <n v="0"/>
    <x v="2"/>
  </r>
  <r>
    <s v="Regular"/>
    <x v="0"/>
    <x v="1"/>
    <x v="1"/>
    <x v="0"/>
    <x v="2"/>
    <x v="0"/>
    <x v="1"/>
    <x v="2"/>
    <n v="748"/>
    <n v="718.08"/>
    <n v="0"/>
    <n v="0"/>
    <n v="0"/>
    <n v="0"/>
    <n v="3"/>
    <s v="CATIVO"/>
    <n v="0"/>
    <n v="22"/>
    <n v="0"/>
    <n v="0"/>
    <n v="22.34"/>
    <n v="0"/>
    <n v="0"/>
    <n v="30.26225635308667"/>
    <m/>
    <m/>
    <n v="668.41279999999904"/>
    <n v="0"/>
    <n v="905.44671008435193"/>
    <n v="0"/>
    <x v="2"/>
  </r>
  <r>
    <s v="Regular"/>
    <x v="0"/>
    <x v="1"/>
    <x v="1"/>
    <x v="0"/>
    <x v="2"/>
    <x v="0"/>
    <x v="1"/>
    <x v="3"/>
    <n v="176"/>
    <n v="168.96"/>
    <n v="0"/>
    <n v="0"/>
    <n v="0"/>
    <n v="0"/>
    <n v="3"/>
    <s v="CATIVO"/>
    <n v="0"/>
    <n v="22"/>
    <n v="0"/>
    <n v="0"/>
    <n v="22.34"/>
    <n v="0"/>
    <n v="0"/>
    <n v="30.26225635308667"/>
    <m/>
    <m/>
    <n v="157.27359999999982"/>
    <n v="0"/>
    <n v="213.04628472572992"/>
    <n v="0"/>
    <x v="2"/>
  </r>
  <r>
    <s v="Regular"/>
    <x v="0"/>
    <x v="1"/>
    <x v="1"/>
    <x v="0"/>
    <x v="2"/>
    <x v="0"/>
    <x v="1"/>
    <x v="4"/>
    <n v="147"/>
    <n v="141.12"/>
    <n v="0"/>
    <n v="0"/>
    <n v="0"/>
    <n v="0"/>
    <n v="3"/>
    <s v="CATIVO"/>
    <n v="0"/>
    <n v="22"/>
    <n v="0"/>
    <n v="0"/>
    <n v="22.34"/>
    <n v="0"/>
    <n v="0"/>
    <n v="30.26225635308667"/>
    <m/>
    <m/>
    <n v="131.3591999999999"/>
    <n v="0"/>
    <n v="177.94206735614949"/>
    <n v="0"/>
    <x v="2"/>
  </r>
  <r>
    <s v="Regular"/>
    <x v="0"/>
    <x v="1"/>
    <x v="1"/>
    <x v="0"/>
    <x v="2"/>
    <x v="0"/>
    <x v="1"/>
    <x v="5"/>
    <n v="158"/>
    <n v="151.68"/>
    <n v="0"/>
    <n v="0"/>
    <n v="0"/>
    <n v="0"/>
    <n v="3"/>
    <s v="CATIVO"/>
    <n v="0"/>
    <n v="22"/>
    <n v="0"/>
    <n v="0"/>
    <n v="22.34"/>
    <n v="0"/>
    <n v="0"/>
    <n v="30.26225635308667"/>
    <m/>
    <m/>
    <n v="141.18879999999984"/>
    <n v="0"/>
    <n v="191.25746015150756"/>
    <n v="0"/>
    <x v="2"/>
  </r>
  <r>
    <s v="Regular"/>
    <x v="0"/>
    <x v="1"/>
    <x v="1"/>
    <x v="0"/>
    <x v="2"/>
    <x v="0"/>
    <x v="1"/>
    <x v="6"/>
    <n v="158"/>
    <n v="151.68"/>
    <n v="0"/>
    <n v="0"/>
    <n v="0"/>
    <n v="0"/>
    <n v="3"/>
    <s v="CATIVO"/>
    <n v="0"/>
    <n v="22"/>
    <n v="0"/>
    <n v="0"/>
    <n v="22.34"/>
    <n v="0"/>
    <n v="0"/>
    <n v="30.26225635308667"/>
    <m/>
    <m/>
    <n v="141.18879999999984"/>
    <n v="0"/>
    <n v="191.25746015150756"/>
    <n v="0"/>
    <x v="2"/>
  </r>
  <r>
    <s v="Regular"/>
    <x v="0"/>
    <x v="1"/>
    <x v="1"/>
    <x v="0"/>
    <x v="2"/>
    <x v="0"/>
    <x v="1"/>
    <x v="7"/>
    <n v="151"/>
    <n v="144.96"/>
    <n v="0"/>
    <n v="0"/>
    <n v="0"/>
    <n v="0"/>
    <n v="3"/>
    <s v="CATIVO"/>
    <n v="0"/>
    <n v="22"/>
    <n v="0"/>
    <n v="0"/>
    <n v="22.34"/>
    <n v="0"/>
    <n v="0"/>
    <n v="30.26225635308667"/>
    <m/>
    <m/>
    <n v="134.93359999999981"/>
    <n v="0"/>
    <n v="182.78402837264323"/>
    <n v="0"/>
    <x v="2"/>
  </r>
  <r>
    <s v="Regular"/>
    <x v="0"/>
    <x v="1"/>
    <x v="1"/>
    <x v="0"/>
    <x v="2"/>
    <x v="0"/>
    <x v="1"/>
    <x v="8"/>
    <n v="465"/>
    <n v="446.4"/>
    <n v="0"/>
    <n v="0"/>
    <n v="0"/>
    <n v="0"/>
    <n v="3"/>
    <s v="CATIVO"/>
    <n v="0"/>
    <n v="22"/>
    <n v="0"/>
    <n v="0"/>
    <n v="22.34"/>
    <n v="0"/>
    <n v="0"/>
    <n v="30.26225635308667"/>
    <m/>
    <m/>
    <n v="415.52400000000051"/>
    <n v="0"/>
    <n v="562.87796816741275"/>
    <n v="0"/>
    <x v="2"/>
  </r>
  <r>
    <s v="Regular"/>
    <x v="0"/>
    <x v="1"/>
    <x v="1"/>
    <x v="0"/>
    <x v="2"/>
    <x v="0"/>
    <x v="1"/>
    <x v="9"/>
    <n v="260"/>
    <n v="249.6"/>
    <n v="0"/>
    <n v="0"/>
    <n v="0"/>
    <n v="0"/>
    <n v="3"/>
    <s v="CATIVO"/>
    <n v="0"/>
    <n v="22"/>
    <n v="0"/>
    <n v="0"/>
    <n v="22.34"/>
    <n v="0"/>
    <n v="0"/>
    <n v="30.26225635308667"/>
    <m/>
    <m/>
    <n v="232.33600000000013"/>
    <n v="0"/>
    <n v="314.72746607210155"/>
    <n v="0"/>
    <x v="2"/>
  </r>
  <r>
    <s v="Regular"/>
    <x v="0"/>
    <x v="1"/>
    <x v="1"/>
    <x v="0"/>
    <x v="2"/>
    <x v="0"/>
    <x v="1"/>
    <x v="10"/>
    <n v="237"/>
    <n v="227.52"/>
    <n v="0"/>
    <n v="0"/>
    <n v="0"/>
    <n v="0"/>
    <n v="3"/>
    <s v="CATIVO"/>
    <n v="0"/>
    <n v="22"/>
    <n v="0"/>
    <n v="0"/>
    <n v="22.34"/>
    <n v="0"/>
    <n v="0"/>
    <n v="30.26225635308667"/>
    <m/>
    <m/>
    <n v="211.78319999999977"/>
    <n v="0"/>
    <n v="286.8861902272613"/>
    <n v="0"/>
    <x v="2"/>
  </r>
  <r>
    <s v="Regular"/>
    <x v="0"/>
    <x v="1"/>
    <x v="1"/>
    <x v="0"/>
    <x v="2"/>
    <x v="0"/>
    <x v="1"/>
    <x v="11"/>
    <n v="228"/>
    <n v="218.88"/>
    <n v="0"/>
    <n v="0"/>
    <n v="0"/>
    <n v="0"/>
    <n v="3"/>
    <s v="CATIVO"/>
    <n v="0"/>
    <n v="22"/>
    <n v="0"/>
    <n v="0"/>
    <n v="22.34"/>
    <n v="0"/>
    <n v="0"/>
    <n v="30.26225635308667"/>
    <m/>
    <m/>
    <n v="203.74080000000009"/>
    <n v="0"/>
    <n v="275.99177794015054"/>
    <n v="0"/>
    <x v="2"/>
  </r>
  <r>
    <s v="Regular"/>
    <x v="0"/>
    <x v="1"/>
    <x v="1"/>
    <x v="0"/>
    <x v="2"/>
    <x v="0"/>
    <x v="2"/>
    <x v="0"/>
    <n v="0"/>
    <n v="0"/>
    <n v="4.2469999999999999"/>
    <n v="4.0771199999999999"/>
    <n v="4.2469999999999999"/>
    <n v="4.0771199999999999"/>
    <n v="0"/>
    <s v="CATIVO"/>
    <n v="0"/>
    <n v="0"/>
    <n v="33"/>
    <n v="51"/>
    <n v="0"/>
    <n v="1936.94"/>
    <n v="267.91000000000003"/>
    <m/>
    <n v="2334.812641231822"/>
    <n v="185.42082399535556"/>
    <n v="0"/>
    <n v="374.55991800000004"/>
    <n v="0"/>
    <n v="428.13726107279297"/>
    <x v="2"/>
  </r>
  <r>
    <s v="Regular"/>
    <x v="0"/>
    <x v="1"/>
    <x v="1"/>
    <x v="0"/>
    <x v="2"/>
    <x v="0"/>
    <x v="2"/>
    <x v="1"/>
    <n v="0"/>
    <n v="0"/>
    <n v="1.5149999999999999"/>
    <n v="1.4543999999999999"/>
    <n v="1.5149999999999999"/>
    <n v="1.4543999999999999"/>
    <n v="0"/>
    <s v="CATIVO"/>
    <n v="0"/>
    <n v="0"/>
    <n v="33"/>
    <n v="51"/>
    <n v="0"/>
    <n v="1936.94"/>
    <n v="267.91000000000003"/>
    <m/>
    <n v="2334.812641231822"/>
    <n v="185.42082399535556"/>
    <n v="0"/>
    <n v="133.61390999999998"/>
    <n v="0"/>
    <n v="152.72614799276693"/>
    <x v="2"/>
  </r>
  <r>
    <s v="Regular"/>
    <x v="0"/>
    <x v="1"/>
    <x v="1"/>
    <x v="0"/>
    <x v="2"/>
    <x v="0"/>
    <x v="2"/>
    <x v="2"/>
    <n v="0"/>
    <n v="0"/>
    <n v="1.4079999999999999"/>
    <n v="1.35168"/>
    <n v="1.4079999999999999"/>
    <n v="1.35168"/>
    <n v="0"/>
    <s v="CATIVO"/>
    <n v="0"/>
    <n v="0"/>
    <n v="33"/>
    <n v="51"/>
    <n v="0"/>
    <n v="1936.94"/>
    <n v="267.91000000000003"/>
    <m/>
    <n v="2334.812641231822"/>
    <n v="185.42082399535556"/>
    <n v="0"/>
    <n v="124.17715199999985"/>
    <n v="0"/>
    <n v="141.93954876159444"/>
    <x v="2"/>
  </r>
  <r>
    <s v="Regular"/>
    <x v="0"/>
    <x v="1"/>
    <x v="1"/>
    <x v="0"/>
    <x v="2"/>
    <x v="0"/>
    <x v="2"/>
    <x v="3"/>
    <n v="0"/>
    <n v="0"/>
    <n v="1.385"/>
    <n v="1.3295999999999999"/>
    <n v="1.385"/>
    <n v="1.3295999999999999"/>
    <n v="0"/>
    <s v="CATIVO"/>
    <n v="0"/>
    <n v="0"/>
    <n v="33"/>
    <n v="51"/>
    <n v="0"/>
    <n v="1936.94"/>
    <n v="267.91000000000003"/>
    <m/>
    <n v="2334.812641231822"/>
    <n v="185.42082399535556"/>
    <n v="0"/>
    <n v="122.14869000000026"/>
    <n v="0"/>
    <n v="139.62093397358592"/>
    <x v="2"/>
  </r>
  <r>
    <s v="Regular"/>
    <x v="0"/>
    <x v="1"/>
    <x v="1"/>
    <x v="0"/>
    <x v="2"/>
    <x v="0"/>
    <x v="2"/>
    <x v="4"/>
    <n v="0"/>
    <n v="0"/>
    <n v="1.2430000000000001"/>
    <n v="1.1932799999999999"/>
    <n v="1.2430000000000001"/>
    <n v="1.1932799999999999"/>
    <n v="0"/>
    <s v="CATIVO"/>
    <n v="0"/>
    <n v="0"/>
    <n v="33"/>
    <n v="51"/>
    <n v="0"/>
    <n v="1936.94"/>
    <n v="267.91000000000003"/>
    <m/>
    <n v="2334.812641231822"/>
    <n v="185.42082399535556"/>
    <n v="0"/>
    <n v="109.62514200000047"/>
    <n v="0"/>
    <n v="125.30600789109579"/>
    <x v="2"/>
  </r>
  <r>
    <s v="Regular"/>
    <x v="0"/>
    <x v="1"/>
    <x v="1"/>
    <x v="0"/>
    <x v="2"/>
    <x v="0"/>
    <x v="2"/>
    <x v="5"/>
    <n v="0"/>
    <n v="0"/>
    <n v="1.1970000000000001"/>
    <n v="1.1491199999999999"/>
    <n v="1.1970000000000001"/>
    <n v="1.1491199999999999"/>
    <n v="0"/>
    <s v="CATIVO"/>
    <n v="0"/>
    <n v="0"/>
    <n v="33"/>
    <n v="51"/>
    <n v="0"/>
    <n v="1936.94"/>
    <n v="267.91000000000003"/>
    <m/>
    <n v="2334.812641231822"/>
    <n v="185.42082399535556"/>
    <n v="0"/>
    <n v="105.56821800000031"/>
    <n v="0"/>
    <n v="120.66877831507762"/>
    <x v="2"/>
  </r>
  <r>
    <s v="Regular"/>
    <x v="0"/>
    <x v="1"/>
    <x v="1"/>
    <x v="0"/>
    <x v="2"/>
    <x v="0"/>
    <x v="2"/>
    <x v="6"/>
    <n v="0"/>
    <n v="0"/>
    <n v="1.4970000000000001"/>
    <n v="1.43712"/>
    <n v="1.4970000000000001"/>
    <n v="1.43712"/>
    <n v="0"/>
    <s v="CATIVO"/>
    <n v="0"/>
    <n v="0"/>
    <n v="33"/>
    <n v="51"/>
    <n v="0"/>
    <n v="1936.94"/>
    <n v="267.91000000000003"/>
    <m/>
    <n v="2334.812641231822"/>
    <n v="185.42082399535556"/>
    <n v="0"/>
    <n v="132.02641800000035"/>
    <n v="0"/>
    <n v="150.91157989780379"/>
    <x v="2"/>
  </r>
  <r>
    <s v="Regular"/>
    <x v="0"/>
    <x v="1"/>
    <x v="1"/>
    <x v="0"/>
    <x v="2"/>
    <x v="0"/>
    <x v="2"/>
    <x v="7"/>
    <n v="0"/>
    <n v="0"/>
    <n v="1.2509999999999999"/>
    <n v="1.20096"/>
    <n v="1.2509999999999999"/>
    <n v="1.20096"/>
    <n v="0"/>
    <s v="CATIVO"/>
    <n v="0"/>
    <n v="0"/>
    <n v="33"/>
    <n v="51"/>
    <n v="0"/>
    <n v="1936.94"/>
    <n v="267.91000000000003"/>
    <m/>
    <n v="2334.812641231822"/>
    <n v="185.42082399535556"/>
    <n v="0"/>
    <n v="110.3306939999997"/>
    <n v="0"/>
    <n v="126.11248259996762"/>
    <x v="2"/>
  </r>
  <r>
    <s v="Regular"/>
    <x v="0"/>
    <x v="1"/>
    <x v="1"/>
    <x v="0"/>
    <x v="2"/>
    <x v="0"/>
    <x v="2"/>
    <x v="8"/>
    <n v="0"/>
    <n v="0"/>
    <n v="6.758"/>
    <n v="6.4876800000000001"/>
    <n v="6.758"/>
    <n v="6.4876800000000001"/>
    <n v="0"/>
    <s v="CATIVO"/>
    <n v="0"/>
    <n v="0"/>
    <n v="33"/>
    <n v="51"/>
    <n v="0"/>
    <n v="1936.94"/>
    <n v="267.91000000000003"/>
    <m/>
    <n v="2334.812641231822"/>
    <n v="185.42082399535556"/>
    <n v="0"/>
    <n v="596.01505199999974"/>
    <n v="0"/>
    <n v="681.26951032021043"/>
    <x v="2"/>
  </r>
  <r>
    <s v="Regular"/>
    <x v="0"/>
    <x v="1"/>
    <x v="1"/>
    <x v="0"/>
    <x v="2"/>
    <x v="0"/>
    <x v="2"/>
    <x v="9"/>
    <n v="0"/>
    <n v="0"/>
    <n v="8.375"/>
    <n v="8.0399999999999991"/>
    <n v="8.375"/>
    <n v="8.0399999999999991"/>
    <n v="0"/>
    <s v="CATIVO"/>
    <n v="0"/>
    <n v="0"/>
    <n v="33"/>
    <n v="51"/>
    <n v="0"/>
    <n v="1936.94"/>
    <n v="267.91000000000003"/>
    <m/>
    <n v="2334.812641231822"/>
    <n v="185.42082399535556"/>
    <n v="0"/>
    <n v="738.62475000000188"/>
    <n v="0"/>
    <n v="844.27821085110668"/>
    <x v="2"/>
  </r>
  <r>
    <s v="Regular"/>
    <x v="0"/>
    <x v="1"/>
    <x v="1"/>
    <x v="0"/>
    <x v="2"/>
    <x v="0"/>
    <x v="2"/>
    <x v="10"/>
    <n v="0"/>
    <n v="0"/>
    <n v="6.0789999999999997"/>
    <n v="5.8358400000000001"/>
    <n v="6.0789999999999997"/>
    <n v="5.8358400000000001"/>
    <n v="0"/>
    <s v="CATIVO"/>
    <n v="0"/>
    <n v="0"/>
    <n v="33"/>
    <n v="51"/>
    <n v="0"/>
    <n v="1936.94"/>
    <n v="267.91000000000003"/>
    <m/>
    <n v="2334.812641231822"/>
    <n v="185.42082399535556"/>
    <n v="0"/>
    <n v="536.13132599999915"/>
    <n v="0"/>
    <n v="612.81996940463944"/>
    <x v="2"/>
  </r>
  <r>
    <s v="Regular"/>
    <x v="0"/>
    <x v="1"/>
    <x v="1"/>
    <x v="0"/>
    <x v="2"/>
    <x v="0"/>
    <x v="2"/>
    <x v="11"/>
    <n v="0"/>
    <n v="0"/>
    <n v="7.3"/>
    <n v="7.008"/>
    <n v="7.3"/>
    <n v="7.008"/>
    <n v="0"/>
    <s v="CATIVO"/>
    <n v="0"/>
    <n v="0"/>
    <n v="33"/>
    <n v="51"/>
    <n v="0"/>
    <n v="1936.94"/>
    <n v="267.91000000000003"/>
    <m/>
    <n v="2334.812641231822"/>
    <n v="185.42082399535556"/>
    <n v="0"/>
    <n v="643.81619999999964"/>
    <n v="0"/>
    <n v="735.90817184633534"/>
    <x v="2"/>
  </r>
  <r>
    <s v="Regular"/>
    <x v="1"/>
    <x v="2"/>
    <x v="2"/>
    <x v="2"/>
    <x v="2"/>
    <x v="0"/>
    <x v="1"/>
    <x v="0"/>
    <n v="0"/>
    <n v="0"/>
    <n v="544.54100000000005"/>
    <n v="544.54100000000005"/>
    <n v="544.54100000000005"/>
    <n v="544.54100000000005"/>
    <n v="3503"/>
    <s v="CATIVO"/>
    <n v="0"/>
    <n v="0"/>
    <n v="6"/>
    <n v="32"/>
    <n v="0"/>
    <n v="367.75"/>
    <n v="267.91000000000003"/>
    <m/>
    <n v="457.81459354608398"/>
    <n v="185.42082399535556"/>
    <n v="0"/>
    <n v="0"/>
    <n v="0"/>
    <n v="0"/>
    <x v="3"/>
  </r>
  <r>
    <s v="Regular"/>
    <x v="1"/>
    <x v="2"/>
    <x v="2"/>
    <x v="3"/>
    <x v="2"/>
    <x v="0"/>
    <x v="1"/>
    <x v="0"/>
    <n v="0"/>
    <n v="0"/>
    <n v="4.38"/>
    <n v="4.38"/>
    <n v="4.38"/>
    <n v="4.38"/>
    <n v="2"/>
    <s v="CATIVO"/>
    <n v="0"/>
    <n v="0"/>
    <n v="5"/>
    <n v="31"/>
    <n v="0"/>
    <n v="109.18"/>
    <n v="93.77"/>
    <m/>
    <n v="121.5518034861078"/>
    <n v="64.897288398374442"/>
    <n v="0"/>
    <n v="1650.7782000000002"/>
    <n v="0"/>
    <n v="1516.6301845574887"/>
    <x v="4"/>
  </r>
  <r>
    <s v="Regular"/>
    <x v="1"/>
    <x v="2"/>
    <x v="2"/>
    <x v="3"/>
    <x v="2"/>
    <x v="0"/>
    <x v="1"/>
    <x v="1"/>
    <n v="0"/>
    <n v="0"/>
    <n v="4.47"/>
    <n v="4.47"/>
    <n v="4.47"/>
    <n v="4.47"/>
    <n v="2"/>
    <s v="CATIVO"/>
    <n v="0"/>
    <n v="0"/>
    <n v="5"/>
    <n v="31"/>
    <n v="0"/>
    <n v="109.18"/>
    <n v="93.77"/>
    <m/>
    <n v="121.5518034861078"/>
    <n v="64.897288398374442"/>
    <n v="0"/>
    <n v="1684.6983"/>
    <n v="0"/>
    <n v="1547.7938184867521"/>
    <x v="4"/>
  </r>
  <r>
    <s v="Regular"/>
    <x v="1"/>
    <x v="2"/>
    <x v="2"/>
    <x v="3"/>
    <x v="2"/>
    <x v="0"/>
    <x v="1"/>
    <x v="2"/>
    <n v="0"/>
    <n v="0"/>
    <n v="4.5599999999999996"/>
    <n v="4.5599999999999996"/>
    <n v="4.5599999999999996"/>
    <n v="4.5599999999999996"/>
    <n v="1"/>
    <s v="CATIVO"/>
    <n v="0"/>
    <n v="0"/>
    <n v="5"/>
    <n v="31"/>
    <n v="0"/>
    <n v="109.18"/>
    <n v="93.77"/>
    <m/>
    <n v="121.5518034861078"/>
    <n v="64.897288398374442"/>
    <n v="0"/>
    <n v="1718.6184000000001"/>
    <n v="0"/>
    <n v="1578.9574524160155"/>
    <x v="4"/>
  </r>
  <r>
    <s v="Regular"/>
    <x v="1"/>
    <x v="2"/>
    <x v="2"/>
    <x v="3"/>
    <x v="2"/>
    <x v="0"/>
    <x v="1"/>
    <x v="3"/>
    <n v="0"/>
    <n v="0"/>
    <n v="5.01"/>
    <n v="5.01"/>
    <n v="5.01"/>
    <n v="5.01"/>
    <n v="2"/>
    <s v="CATIVO"/>
    <n v="0"/>
    <n v="0"/>
    <n v="5"/>
    <n v="31"/>
    <n v="0"/>
    <n v="109.18"/>
    <n v="93.77"/>
    <m/>
    <n v="121.5518034861078"/>
    <n v="64.897288398374442"/>
    <n v="0"/>
    <n v="1888.2189000000001"/>
    <n v="0"/>
    <n v="1734.7756220623328"/>
    <x v="4"/>
  </r>
  <r>
    <s v="Regular"/>
    <x v="1"/>
    <x v="2"/>
    <x v="2"/>
    <x v="3"/>
    <x v="2"/>
    <x v="0"/>
    <x v="1"/>
    <x v="4"/>
    <n v="0"/>
    <n v="0"/>
    <n v="4.92"/>
    <n v="4.92"/>
    <n v="4.92"/>
    <n v="4.92"/>
    <n v="0"/>
    <s v="CATIVO"/>
    <n v="0"/>
    <n v="0"/>
    <n v="5"/>
    <n v="31"/>
    <n v="0"/>
    <n v="109.18"/>
    <n v="93.77"/>
    <m/>
    <n v="121.5518034861078"/>
    <n v="64.897288398374442"/>
    <n v="0"/>
    <n v="1854.2988000000003"/>
    <n v="0"/>
    <n v="1703.6119881330694"/>
    <x v="4"/>
  </r>
  <r>
    <s v="Refaturamento - Regular"/>
    <x v="1"/>
    <x v="2"/>
    <x v="2"/>
    <x v="3"/>
    <x v="2"/>
    <x v="0"/>
    <x v="1"/>
    <x v="4"/>
    <n v="0"/>
    <n v="0"/>
    <n v="-0.03"/>
    <n v="-0.03"/>
    <n v="-0.03"/>
    <n v="-0.03"/>
    <n v="0"/>
    <s v="CATIVO"/>
    <n v="0"/>
    <n v="0"/>
    <n v="5"/>
    <n v="31"/>
    <n v="0"/>
    <n v="109.18"/>
    <n v="93.77"/>
    <m/>
    <n v="121.5518034861078"/>
    <n v="64.897288398374442"/>
    <n v="0"/>
    <n v="-11.306700000000001"/>
    <n v="0"/>
    <n v="-10.387877976421155"/>
    <x v="4"/>
  </r>
  <r>
    <s v="Regular"/>
    <x v="1"/>
    <x v="2"/>
    <x v="2"/>
    <x v="3"/>
    <x v="2"/>
    <x v="0"/>
    <x v="1"/>
    <x v="5"/>
    <n v="0"/>
    <n v="0"/>
    <n v="5.58"/>
    <n v="5.58"/>
    <n v="5.58"/>
    <n v="5.58"/>
    <n v="0"/>
    <s v="CATIVO"/>
    <n v="0"/>
    <n v="0"/>
    <n v="5"/>
    <n v="31"/>
    <n v="0"/>
    <n v="109.18"/>
    <n v="93.77"/>
    <m/>
    <n v="121.5518034861078"/>
    <n v="64.897288398374442"/>
    <n v="0"/>
    <n v="2103.0462000000002"/>
    <n v="0"/>
    <n v="1932.145303614335"/>
    <x v="4"/>
  </r>
  <r>
    <s v="Regular"/>
    <x v="1"/>
    <x v="2"/>
    <x v="2"/>
    <x v="3"/>
    <x v="2"/>
    <x v="0"/>
    <x v="1"/>
    <x v="6"/>
    <n v="0"/>
    <n v="0"/>
    <n v="6.78"/>
    <n v="6.78"/>
    <n v="6.78"/>
    <n v="6.78"/>
    <n v="3"/>
    <s v="CATIVO"/>
    <n v="0"/>
    <n v="0"/>
    <n v="5"/>
    <n v="31"/>
    <n v="0"/>
    <n v="109.18"/>
    <n v="93.77"/>
    <m/>
    <n v="121.5518034861078"/>
    <n v="64.897288398374442"/>
    <n v="0"/>
    <n v="2555.3142000000003"/>
    <n v="0"/>
    <n v="2347.6604226711811"/>
    <x v="4"/>
  </r>
  <r>
    <s v="Regular"/>
    <x v="1"/>
    <x v="2"/>
    <x v="2"/>
    <x v="3"/>
    <x v="2"/>
    <x v="0"/>
    <x v="1"/>
    <x v="7"/>
    <n v="0"/>
    <n v="0"/>
    <n v="6.99"/>
    <n v="6.99"/>
    <n v="6.99"/>
    <n v="6.99"/>
    <n v="3"/>
    <s v="CATIVO"/>
    <n v="0"/>
    <n v="0"/>
    <n v="5"/>
    <n v="31"/>
    <n v="0"/>
    <n v="109.18"/>
    <n v="93.77"/>
    <m/>
    <n v="121.5518034861078"/>
    <n v="64.897288398374442"/>
    <n v="0"/>
    <n v="2634.4611000000004"/>
    <n v="0"/>
    <n v="2420.3755685061292"/>
    <x v="4"/>
  </r>
  <r>
    <s v="Regular"/>
    <x v="1"/>
    <x v="2"/>
    <x v="2"/>
    <x v="3"/>
    <x v="2"/>
    <x v="0"/>
    <x v="1"/>
    <x v="8"/>
    <n v="0"/>
    <n v="0"/>
    <n v="7.17"/>
    <n v="7.17"/>
    <n v="7.17"/>
    <n v="7.17"/>
    <n v="6"/>
    <s v="CATIVO"/>
    <n v="0"/>
    <n v="0"/>
    <n v="5"/>
    <n v="31"/>
    <n v="0"/>
    <n v="109.18"/>
    <n v="93.77"/>
    <m/>
    <n v="121.5518034861078"/>
    <n v="64.897288398374442"/>
    <n v="0"/>
    <n v="2702.3013000000001"/>
    <n v="0"/>
    <n v="2482.7028363646559"/>
    <x v="4"/>
  </r>
  <r>
    <s v="Regular"/>
    <x v="1"/>
    <x v="2"/>
    <x v="2"/>
    <x v="3"/>
    <x v="2"/>
    <x v="0"/>
    <x v="1"/>
    <x v="9"/>
    <n v="0"/>
    <n v="0"/>
    <n v="6.6"/>
    <n v="6.6"/>
    <n v="6.6"/>
    <n v="6.6"/>
    <n v="2"/>
    <s v="CATIVO"/>
    <n v="0"/>
    <n v="0"/>
    <n v="5"/>
    <n v="31"/>
    <n v="0"/>
    <n v="109.18"/>
    <n v="93.77"/>
    <m/>
    <n v="121.5518034861078"/>
    <n v="64.897288398374442"/>
    <n v="0"/>
    <n v="2487.4740000000002"/>
    <n v="0"/>
    <n v="2285.3331548126539"/>
    <x v="4"/>
  </r>
  <r>
    <s v="Regular"/>
    <x v="1"/>
    <x v="2"/>
    <x v="2"/>
    <x v="3"/>
    <x v="2"/>
    <x v="0"/>
    <x v="1"/>
    <x v="10"/>
    <n v="0"/>
    <n v="0"/>
    <n v="6.66"/>
    <n v="6.66"/>
    <n v="6.66"/>
    <n v="6.66"/>
    <n v="7"/>
    <s v="CATIVO"/>
    <n v="0"/>
    <n v="0"/>
    <n v="5"/>
    <n v="31"/>
    <n v="0"/>
    <n v="109.18"/>
    <n v="93.77"/>
    <m/>
    <n v="121.5518034861078"/>
    <n v="64.897288398374442"/>
    <n v="0"/>
    <n v="2510.0874000000003"/>
    <n v="0"/>
    <n v="2306.1089107654966"/>
    <x v="4"/>
  </r>
  <r>
    <s v="Regular"/>
    <x v="1"/>
    <x v="2"/>
    <x v="2"/>
    <x v="3"/>
    <x v="2"/>
    <x v="0"/>
    <x v="1"/>
    <x v="11"/>
    <n v="0"/>
    <n v="0"/>
    <n v="6.48"/>
    <n v="6.48"/>
    <n v="6.48"/>
    <n v="6.48"/>
    <n v="5"/>
    <s v="CATIVO"/>
    <n v="0"/>
    <n v="0"/>
    <n v="5"/>
    <n v="31"/>
    <n v="0"/>
    <n v="109.18"/>
    <n v="93.77"/>
    <m/>
    <n v="121.5518034861078"/>
    <n v="64.897288398374442"/>
    <n v="0"/>
    <n v="2442.2472000000002"/>
    <n v="0"/>
    <n v="2243.7816429069699"/>
    <x v="4"/>
  </r>
  <r>
    <s v="Regular"/>
    <x v="1"/>
    <x v="2"/>
    <x v="2"/>
    <x v="4"/>
    <x v="2"/>
    <x v="0"/>
    <x v="1"/>
    <x v="0"/>
    <n v="0"/>
    <n v="0"/>
    <n v="9.3810000000000002"/>
    <n v="9.3810000000000002"/>
    <n v="9.3810000000000002"/>
    <n v="9.3810000000000002"/>
    <n v="26"/>
    <s v="CATIVO"/>
    <n v="0"/>
    <n v="0"/>
    <n v="9"/>
    <n v="37"/>
    <n v="0"/>
    <n v="187.16"/>
    <n v="160.75"/>
    <m/>
    <n v="208.37452026189911"/>
    <n v="111.25249439721334"/>
    <n v="0"/>
    <n v="2175.7353300000004"/>
    <n v="0"/>
    <n v="1998.9473496780895"/>
    <x v="4"/>
  </r>
  <r>
    <s v="Regular"/>
    <x v="1"/>
    <x v="2"/>
    <x v="2"/>
    <x v="4"/>
    <x v="2"/>
    <x v="0"/>
    <x v="1"/>
    <x v="1"/>
    <n v="0"/>
    <n v="0"/>
    <n v="9.577"/>
    <n v="9.577"/>
    <n v="9.577"/>
    <n v="9.577"/>
    <n v="24"/>
    <s v="CATIVO"/>
    <n v="0"/>
    <n v="0"/>
    <n v="9"/>
    <n v="37"/>
    <n v="0"/>
    <n v="187.16"/>
    <n v="160.75"/>
    <m/>
    <n v="208.37452026189911"/>
    <n v="111.25249439721334"/>
    <n v="0"/>
    <n v="2221.1936100000007"/>
    <n v="0"/>
    <n v="2040.7119462602136"/>
    <x v="4"/>
  </r>
  <r>
    <s v="Regular"/>
    <x v="1"/>
    <x v="2"/>
    <x v="2"/>
    <x v="4"/>
    <x v="2"/>
    <x v="0"/>
    <x v="1"/>
    <x v="2"/>
    <n v="0"/>
    <n v="0"/>
    <n v="9.8580000000000005"/>
    <n v="9.8580000000000005"/>
    <n v="9.8580000000000005"/>
    <n v="9.8580000000000005"/>
    <n v="32"/>
    <s v="CATIVO"/>
    <n v="0"/>
    <n v="0"/>
    <n v="9"/>
    <n v="37"/>
    <n v="0"/>
    <n v="187.16"/>
    <n v="160.75"/>
    <m/>
    <n v="208.37452026189911"/>
    <n v="111.25249439721334"/>
    <n v="0"/>
    <n v="2286.3659400000006"/>
    <n v="0"/>
    <n v="2100.5887403396873"/>
    <x v="4"/>
  </r>
  <r>
    <s v="Regular"/>
    <x v="1"/>
    <x v="2"/>
    <x v="2"/>
    <x v="4"/>
    <x v="2"/>
    <x v="0"/>
    <x v="1"/>
    <x v="3"/>
    <n v="0"/>
    <n v="0"/>
    <n v="11.009"/>
    <n v="11.009"/>
    <n v="11.009"/>
    <n v="11.009"/>
    <n v="27"/>
    <s v="CATIVO"/>
    <n v="0"/>
    <n v="0"/>
    <n v="9"/>
    <n v="37"/>
    <n v="0"/>
    <n v="187.16"/>
    <n v="160.75"/>
    <m/>
    <n v="208.37452026189911"/>
    <n v="111.25249439721334"/>
    <n v="0"/>
    <n v="2553.3173700000007"/>
    <n v="0"/>
    <n v="2345.8492029214462"/>
    <x v="4"/>
  </r>
  <r>
    <s v="Regular"/>
    <x v="1"/>
    <x v="2"/>
    <x v="2"/>
    <x v="4"/>
    <x v="2"/>
    <x v="0"/>
    <x v="1"/>
    <x v="4"/>
    <n v="0"/>
    <n v="0"/>
    <n v="10.821"/>
    <n v="10.821"/>
    <n v="10.821"/>
    <n v="10.821"/>
    <n v="31"/>
    <s v="CATIVO"/>
    <n v="0"/>
    <n v="0"/>
    <n v="9"/>
    <n v="37"/>
    <n v="0"/>
    <n v="187.16"/>
    <n v="160.75"/>
    <m/>
    <n v="208.37452026189911"/>
    <n v="111.25249439721334"/>
    <n v="0"/>
    <n v="2509.7145300000007"/>
    <n v="0"/>
    <n v="2305.7892837508375"/>
    <x v="4"/>
  </r>
  <r>
    <s v="Refaturamento - Regular"/>
    <x v="1"/>
    <x v="2"/>
    <x v="2"/>
    <x v="4"/>
    <x v="2"/>
    <x v="0"/>
    <x v="1"/>
    <x v="4"/>
    <n v="0"/>
    <n v="0"/>
    <n v="-7.0000000000000007E-2"/>
    <n v="-7.0000000000000007E-2"/>
    <n v="-7.0000000000000007E-2"/>
    <n v="-7.0000000000000007E-2"/>
    <n v="0"/>
    <s v="CATIVO"/>
    <n v="0"/>
    <n v="0"/>
    <n v="9"/>
    <n v="37"/>
    <n v="0"/>
    <n v="187.16"/>
    <n v="160.75"/>
    <m/>
    <n v="208.37452026189911"/>
    <n v="111.25249439721334"/>
    <n v="0"/>
    <n v="-16.235100000000006"/>
    <n v="0"/>
    <n v="-14.915927350758585"/>
    <x v="4"/>
  </r>
  <r>
    <s v="Regular"/>
    <x v="1"/>
    <x v="2"/>
    <x v="2"/>
    <x v="4"/>
    <x v="2"/>
    <x v="0"/>
    <x v="1"/>
    <x v="5"/>
    <n v="0"/>
    <n v="0"/>
    <n v="12.329000000000001"/>
    <n v="12.329000000000001"/>
    <n v="12.329000000000001"/>
    <n v="12.329000000000001"/>
    <n v="30"/>
    <s v="CATIVO"/>
    <n v="0"/>
    <n v="0"/>
    <n v="9"/>
    <n v="37"/>
    <n v="0"/>
    <n v="187.16"/>
    <n v="160.75"/>
    <m/>
    <n v="208.37452026189911"/>
    <n v="111.25249439721334"/>
    <n v="0"/>
    <n v="2859.4649700000009"/>
    <n v="0"/>
    <n v="2627.1209758214654"/>
    <x v="4"/>
  </r>
  <r>
    <s v="Regular"/>
    <x v="1"/>
    <x v="2"/>
    <x v="2"/>
    <x v="4"/>
    <x v="2"/>
    <x v="0"/>
    <x v="1"/>
    <x v="6"/>
    <n v="0"/>
    <n v="0"/>
    <n v="14.779"/>
    <n v="14.779"/>
    <n v="14.779"/>
    <n v="14.779"/>
    <n v="35"/>
    <s v="CATIVO"/>
    <n v="0"/>
    <n v="0"/>
    <n v="9"/>
    <n v="37"/>
    <n v="0"/>
    <n v="187.16"/>
    <n v="160.75"/>
    <m/>
    <n v="208.37452026189911"/>
    <n v="111.25249439721334"/>
    <n v="0"/>
    <n v="3427.6934700000011"/>
    <n v="0"/>
    <n v="3149.1784330980158"/>
    <x v="4"/>
  </r>
  <r>
    <s v="Regular"/>
    <x v="1"/>
    <x v="2"/>
    <x v="2"/>
    <x v="4"/>
    <x v="2"/>
    <x v="0"/>
    <x v="1"/>
    <x v="7"/>
    <n v="0"/>
    <n v="0"/>
    <n v="15.113"/>
    <n v="15.113"/>
    <n v="15.113"/>
    <n v="15.113"/>
    <n v="43"/>
    <s v="CATIVO"/>
    <n v="0"/>
    <n v="0"/>
    <n v="9"/>
    <n v="37"/>
    <n v="0"/>
    <n v="187.16"/>
    <n v="160.75"/>
    <m/>
    <n v="208.37452026189911"/>
    <n v="111.25249439721334"/>
    <n v="0"/>
    <n v="3505.1580900000008"/>
    <n v="0"/>
    <n v="3220.3487150287779"/>
    <x v="4"/>
  </r>
  <r>
    <s v="Regular"/>
    <x v="1"/>
    <x v="2"/>
    <x v="2"/>
    <x v="4"/>
    <x v="2"/>
    <x v="0"/>
    <x v="1"/>
    <x v="8"/>
    <n v="0"/>
    <n v="0"/>
    <n v="15.212999999999999"/>
    <n v="15.212999999999999"/>
    <n v="15.212999999999999"/>
    <n v="15.212999999999999"/>
    <n v="43"/>
    <s v="CATIVO"/>
    <n v="0"/>
    <n v="0"/>
    <n v="9"/>
    <n v="37"/>
    <n v="0"/>
    <n v="187.16"/>
    <n v="160.75"/>
    <m/>
    <n v="208.37452026189911"/>
    <n v="111.25249439721334"/>
    <n v="0"/>
    <n v="3528.3510900000006"/>
    <n v="0"/>
    <n v="3241.6571826727186"/>
    <x v="4"/>
  </r>
  <r>
    <s v="Regular"/>
    <x v="1"/>
    <x v="2"/>
    <x v="2"/>
    <x v="4"/>
    <x v="2"/>
    <x v="0"/>
    <x v="1"/>
    <x v="9"/>
    <n v="0"/>
    <n v="0"/>
    <n v="13.866"/>
    <n v="13.866"/>
    <n v="13.866"/>
    <n v="13.866"/>
    <n v="47"/>
    <s v="CATIVO"/>
    <n v="0"/>
    <n v="0"/>
    <n v="9"/>
    <n v="37"/>
    <n v="0"/>
    <n v="187.16"/>
    <n v="160.75"/>
    <m/>
    <n v="208.37452026189911"/>
    <n v="111.25249439721334"/>
    <n v="0"/>
    <n v="3215.9413800000007"/>
    <n v="0"/>
    <n v="2954.6321235088358"/>
    <x v="4"/>
  </r>
  <r>
    <s v="Regular"/>
    <x v="1"/>
    <x v="2"/>
    <x v="2"/>
    <x v="4"/>
    <x v="2"/>
    <x v="0"/>
    <x v="1"/>
    <x v="10"/>
    <n v="0"/>
    <n v="0"/>
    <n v="13.898999999999999"/>
    <n v="13.898999999999999"/>
    <n v="13.898999999999999"/>
    <n v="13.898999999999999"/>
    <n v="39"/>
    <s v="CATIVO"/>
    <n v="0"/>
    <n v="0"/>
    <n v="9"/>
    <n v="37"/>
    <n v="0"/>
    <n v="187.16"/>
    <n v="160.75"/>
    <m/>
    <n v="208.37452026189911"/>
    <n v="111.25249439721334"/>
    <n v="0"/>
    <n v="3223.5950700000008"/>
    <n v="0"/>
    <n v="2961.6639178313362"/>
    <x v="4"/>
  </r>
  <r>
    <s v="Regular"/>
    <x v="1"/>
    <x v="2"/>
    <x v="2"/>
    <x v="4"/>
    <x v="2"/>
    <x v="0"/>
    <x v="1"/>
    <x v="11"/>
    <n v="0"/>
    <n v="0"/>
    <n v="13.744999999999999"/>
    <n v="13.744999999999999"/>
    <n v="13.744999999999999"/>
    <n v="13.744999999999999"/>
    <n v="43"/>
    <s v="CATIVO"/>
    <n v="0"/>
    <n v="0"/>
    <n v="9"/>
    <n v="37"/>
    <n v="0"/>
    <n v="187.16"/>
    <n v="160.75"/>
    <m/>
    <n v="208.37452026189911"/>
    <n v="111.25249439721334"/>
    <n v="0"/>
    <n v="3187.8778500000008"/>
    <n v="0"/>
    <n v="2928.8488776596673"/>
    <x v="4"/>
  </r>
  <r>
    <s v="Regular"/>
    <x v="1"/>
    <x v="2"/>
    <x v="2"/>
    <x v="5"/>
    <x v="2"/>
    <x v="0"/>
    <x v="1"/>
    <x v="0"/>
    <n v="0"/>
    <n v="0"/>
    <n v="8.6289999999999996"/>
    <n v="8.6289999999999996"/>
    <n v="8.6289999999999996"/>
    <n v="8.6289999999999996"/>
    <n v="87"/>
    <s v="CATIVO"/>
    <n v="0"/>
    <n v="0"/>
    <n v="42"/>
    <n v="48"/>
    <n v="0"/>
    <n v="280.74"/>
    <n v="241.12"/>
    <m/>
    <n v="312.56178039284868"/>
    <n v="166.87874159582"/>
    <n v="0"/>
    <n v="500.30942000000016"/>
    <n v="0"/>
    <n v="459.67691824891358"/>
    <x v="4"/>
  </r>
  <r>
    <s v="Regular"/>
    <x v="1"/>
    <x v="2"/>
    <x v="2"/>
    <x v="5"/>
    <x v="2"/>
    <x v="0"/>
    <x v="1"/>
    <x v="1"/>
    <n v="0"/>
    <n v="0"/>
    <n v="9.2449999999999992"/>
    <n v="9.2449999999999992"/>
    <n v="9.2449999999999992"/>
    <n v="9.2449999999999992"/>
    <n v="82"/>
    <s v="CATIVO"/>
    <n v="0"/>
    <n v="0"/>
    <n v="42"/>
    <n v="48"/>
    <n v="0"/>
    <n v="280.74"/>
    <n v="241.12"/>
    <m/>
    <n v="312.56178039284868"/>
    <n v="166.87874159582"/>
    <n v="0"/>
    <n v="536.02510000000018"/>
    <n v="0"/>
    <n v="492.49195842058248"/>
    <x v="4"/>
  </r>
  <r>
    <s v="Regular"/>
    <x v="1"/>
    <x v="2"/>
    <x v="2"/>
    <x v="5"/>
    <x v="2"/>
    <x v="0"/>
    <x v="1"/>
    <x v="2"/>
    <n v="0"/>
    <n v="0"/>
    <n v="8.7720000000000002"/>
    <n v="8.7720000000000002"/>
    <n v="8.7720000000000002"/>
    <n v="8.7720000000000002"/>
    <n v="85"/>
    <s v="CATIVO"/>
    <n v="0"/>
    <n v="0"/>
    <n v="42"/>
    <n v="48"/>
    <n v="0"/>
    <n v="280.74"/>
    <n v="241.12"/>
    <m/>
    <n v="312.56178039284868"/>
    <n v="166.87874159582"/>
    <n v="0"/>
    <n v="508.6005600000002"/>
    <n v="0"/>
    <n v="467.29469543162247"/>
    <x v="4"/>
  </r>
  <r>
    <s v="Regular"/>
    <x v="1"/>
    <x v="2"/>
    <x v="2"/>
    <x v="5"/>
    <x v="2"/>
    <x v="0"/>
    <x v="1"/>
    <x v="3"/>
    <n v="0"/>
    <n v="0"/>
    <n v="11.242000000000001"/>
    <n v="11.242000000000001"/>
    <n v="11.242000000000001"/>
    <n v="11.242000000000001"/>
    <n v="88"/>
    <s v="CATIVO"/>
    <n v="0"/>
    <n v="0"/>
    <n v="42"/>
    <n v="48"/>
    <n v="0"/>
    <n v="280.74"/>
    <n v="241.12"/>
    <m/>
    <n v="312.56178039284868"/>
    <n v="166.87874159582"/>
    <n v="0"/>
    <n v="651.8111600000002"/>
    <n v="0"/>
    <n v="598.87448313295715"/>
    <x v="4"/>
  </r>
  <r>
    <s v="Regular"/>
    <x v="1"/>
    <x v="2"/>
    <x v="2"/>
    <x v="5"/>
    <x v="2"/>
    <x v="0"/>
    <x v="1"/>
    <x v="4"/>
    <n v="0"/>
    <n v="0"/>
    <n v="10.589"/>
    <n v="10.589"/>
    <n v="10.589"/>
    <n v="10.589"/>
    <n v="88"/>
    <s v="CATIVO"/>
    <n v="0"/>
    <n v="0"/>
    <n v="42"/>
    <n v="48"/>
    <n v="0"/>
    <n v="280.74"/>
    <n v="241.12"/>
    <m/>
    <n v="312.56178039284868"/>
    <n v="166.87874159582"/>
    <n v="0"/>
    <n v="613.95022000000017"/>
    <n v="0"/>
    <n v="564.08840970422375"/>
    <x v="4"/>
  </r>
  <r>
    <s v="Refaturamento - Regular"/>
    <x v="1"/>
    <x v="2"/>
    <x v="2"/>
    <x v="5"/>
    <x v="2"/>
    <x v="0"/>
    <x v="1"/>
    <x v="4"/>
    <n v="0"/>
    <n v="0"/>
    <n v="-0.113"/>
    <n v="-0.113"/>
    <n v="-0.113"/>
    <n v="-0.113"/>
    <n v="0"/>
    <s v="CATIVO"/>
    <n v="0"/>
    <n v="0"/>
    <n v="42"/>
    <n v="48"/>
    <n v="0"/>
    <n v="280.74"/>
    <n v="241.12"/>
    <m/>
    <n v="312.56178039284868"/>
    <n v="166.87874159582"/>
    <n v="0"/>
    <n v="-6.5517400000000023"/>
    <n v="0"/>
    <n v="-6.0196421094132857"/>
    <x v="4"/>
  </r>
  <r>
    <s v="Regular"/>
    <x v="1"/>
    <x v="2"/>
    <x v="2"/>
    <x v="5"/>
    <x v="2"/>
    <x v="0"/>
    <x v="1"/>
    <x v="5"/>
    <n v="0"/>
    <n v="0"/>
    <n v="11.867000000000001"/>
    <n v="11.867000000000001"/>
    <n v="11.867000000000001"/>
    <n v="11.867000000000001"/>
    <n v="112"/>
    <s v="CATIVO"/>
    <n v="0"/>
    <n v="0"/>
    <n v="42"/>
    <n v="48"/>
    <n v="0"/>
    <n v="280.74"/>
    <n v="241.12"/>
    <m/>
    <n v="312.56178039284868"/>
    <n v="166.87874159582"/>
    <n v="0"/>
    <n v="688.04866000000027"/>
    <n v="0"/>
    <n v="632.16896382661469"/>
    <x v="4"/>
  </r>
  <r>
    <s v="Regular"/>
    <x v="1"/>
    <x v="2"/>
    <x v="2"/>
    <x v="5"/>
    <x v="2"/>
    <x v="0"/>
    <x v="1"/>
    <x v="6"/>
    <n v="0"/>
    <n v="0"/>
    <n v="14.621"/>
    <n v="14.621"/>
    <n v="14.621"/>
    <n v="14.621"/>
    <n v="131"/>
    <s v="CATIVO"/>
    <n v="0"/>
    <n v="0"/>
    <n v="42"/>
    <n v="48"/>
    <n v="0"/>
    <n v="280.74"/>
    <n v="241.12"/>
    <m/>
    <n v="312.56178039284868"/>
    <n v="166.87874159582"/>
    <n v="0"/>
    <n v="847.72558000000026"/>
    <n v="0"/>
    <n v="778.87776355514734"/>
    <x v="4"/>
  </r>
  <r>
    <s v="Regular"/>
    <x v="1"/>
    <x v="2"/>
    <x v="2"/>
    <x v="5"/>
    <x v="2"/>
    <x v="0"/>
    <x v="1"/>
    <x v="7"/>
    <n v="0"/>
    <n v="0"/>
    <n v="13.91"/>
    <n v="13.91"/>
    <n v="13.91"/>
    <n v="13.91"/>
    <n v="139"/>
    <s v="CATIVO"/>
    <n v="0"/>
    <n v="0"/>
    <n v="42"/>
    <n v="48"/>
    <n v="0"/>
    <n v="280.74"/>
    <n v="241.12"/>
    <m/>
    <n v="312.56178039284868"/>
    <n v="166.87874159582"/>
    <n v="0"/>
    <n v="806.50180000000023"/>
    <n v="0"/>
    <n v="741.0019623180425"/>
    <x v="4"/>
  </r>
  <r>
    <s v="Regular"/>
    <x v="1"/>
    <x v="2"/>
    <x v="2"/>
    <x v="5"/>
    <x v="2"/>
    <x v="0"/>
    <x v="1"/>
    <x v="8"/>
    <n v="0"/>
    <n v="0"/>
    <n v="13.505000000000001"/>
    <n v="13.505000000000001"/>
    <n v="13.505000000000001"/>
    <n v="13.505000000000001"/>
    <n v="152"/>
    <s v="CATIVO"/>
    <n v="0"/>
    <n v="0"/>
    <n v="42"/>
    <n v="48"/>
    <n v="0"/>
    <n v="280.74"/>
    <n v="241.12"/>
    <m/>
    <n v="312.56178039284868"/>
    <n v="166.87874159582"/>
    <n v="0"/>
    <n v="783.01990000000023"/>
    <n v="0"/>
    <n v="719.42713882855242"/>
    <x v="4"/>
  </r>
  <r>
    <s v="Regular"/>
    <x v="1"/>
    <x v="2"/>
    <x v="2"/>
    <x v="5"/>
    <x v="2"/>
    <x v="0"/>
    <x v="1"/>
    <x v="9"/>
    <n v="0"/>
    <n v="0"/>
    <n v="10.781000000000001"/>
    <n v="10.781000000000001"/>
    <n v="10.781000000000001"/>
    <n v="10.781000000000001"/>
    <n v="144"/>
    <s v="CATIVO"/>
    <n v="0"/>
    <n v="0"/>
    <n v="42"/>
    <n v="48"/>
    <n v="0"/>
    <n v="280.74"/>
    <n v="241.12"/>
    <m/>
    <n v="312.56178039284868"/>
    <n v="166.87874159582"/>
    <n v="0"/>
    <n v="625.08238000000028"/>
    <n v="0"/>
    <n v="574.31647417331533"/>
    <x v="4"/>
  </r>
  <r>
    <s v="Regular"/>
    <x v="1"/>
    <x v="2"/>
    <x v="2"/>
    <x v="5"/>
    <x v="2"/>
    <x v="0"/>
    <x v="1"/>
    <x v="10"/>
    <n v="0"/>
    <n v="0"/>
    <n v="10.792"/>
    <n v="10.792"/>
    <n v="10.792"/>
    <n v="10.792"/>
    <n v="149"/>
    <s v="CATIVO"/>
    <n v="0"/>
    <n v="0"/>
    <n v="42"/>
    <n v="48"/>
    <n v="0"/>
    <n v="280.74"/>
    <n v="241.12"/>
    <m/>
    <n v="312.56178039284868"/>
    <n v="166.87874159582"/>
    <n v="0"/>
    <n v="625.72016000000019"/>
    <n v="0"/>
    <n v="574.90245703352366"/>
    <x v="4"/>
  </r>
  <r>
    <s v="Regular"/>
    <x v="1"/>
    <x v="2"/>
    <x v="2"/>
    <x v="5"/>
    <x v="2"/>
    <x v="0"/>
    <x v="1"/>
    <x v="11"/>
    <n v="0"/>
    <n v="0"/>
    <n v="10.227"/>
    <n v="10.227"/>
    <n v="10.227"/>
    <n v="10.227"/>
    <n v="140"/>
    <s v="CATIVO"/>
    <n v="0"/>
    <n v="0"/>
    <n v="42"/>
    <n v="48"/>
    <n v="0"/>
    <n v="280.74"/>
    <n v="241.12"/>
    <m/>
    <n v="312.56178039284868"/>
    <n v="166.87874159582"/>
    <n v="0"/>
    <n v="592.96146000000022"/>
    <n v="0"/>
    <n v="544.80424648645726"/>
    <x v="4"/>
  </r>
  <r>
    <s v="Regular"/>
    <x v="1"/>
    <x v="2"/>
    <x v="2"/>
    <x v="6"/>
    <x v="2"/>
    <x v="0"/>
    <x v="1"/>
    <x v="0"/>
    <n v="0"/>
    <n v="0"/>
    <n v="2.3250000000000002"/>
    <n v="2.3250000000000002"/>
    <n v="2.3250000000000002"/>
    <n v="2.3250000000000002"/>
    <n v="31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6.6080474425689322E-14"/>
    <x v="4"/>
  </r>
  <r>
    <s v="Regular"/>
    <x v="1"/>
    <x v="2"/>
    <x v="2"/>
    <x v="6"/>
    <x v="2"/>
    <x v="0"/>
    <x v="1"/>
    <x v="1"/>
    <n v="0"/>
    <n v="0"/>
    <n v="3.0830000000000002"/>
    <n v="3.0830000000000002"/>
    <n v="3.0830000000000002"/>
    <n v="3.0830000000000002"/>
    <n v="41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8.762413017393556E-14"/>
    <x v="4"/>
  </r>
  <r>
    <s v="Regular"/>
    <x v="1"/>
    <x v="2"/>
    <x v="2"/>
    <x v="6"/>
    <x v="2"/>
    <x v="0"/>
    <x v="1"/>
    <x v="2"/>
    <n v="0"/>
    <n v="0"/>
    <n v="2.3530000000000002"/>
    <n v="2.3530000000000002"/>
    <n v="2.3530000000000002"/>
    <n v="2.3530000000000002"/>
    <n v="34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6.6876282289740635E-14"/>
    <x v="4"/>
  </r>
  <r>
    <s v="Regular"/>
    <x v="1"/>
    <x v="2"/>
    <x v="2"/>
    <x v="6"/>
    <x v="2"/>
    <x v="0"/>
    <x v="1"/>
    <x v="3"/>
    <n v="0"/>
    <n v="0"/>
    <n v="3.536"/>
    <n v="3.536"/>
    <n v="3.536"/>
    <n v="3.536"/>
    <n v="50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1.0049916454590857E-13"/>
    <x v="4"/>
  </r>
  <r>
    <s v="Regular"/>
    <x v="1"/>
    <x v="2"/>
    <x v="2"/>
    <x v="6"/>
    <x v="2"/>
    <x v="0"/>
    <x v="1"/>
    <x v="4"/>
    <n v="0"/>
    <n v="0"/>
    <n v="3.3959999999999999"/>
    <n v="3.3959999999999999"/>
    <n v="3.3959999999999999"/>
    <n v="3.3959999999999999"/>
    <n v="45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9.6520125225652007E-14"/>
    <x v="4"/>
  </r>
  <r>
    <s v="Regular"/>
    <x v="1"/>
    <x v="2"/>
    <x v="2"/>
    <x v="6"/>
    <x v="2"/>
    <x v="0"/>
    <x v="1"/>
    <x v="5"/>
    <n v="0"/>
    <n v="0"/>
    <n v="3.423"/>
    <n v="3.423"/>
    <n v="3.423"/>
    <n v="3.423"/>
    <n v="44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9.7287511380272919E-14"/>
    <x v="4"/>
  </r>
  <r>
    <s v="Regular"/>
    <x v="1"/>
    <x v="2"/>
    <x v="2"/>
    <x v="6"/>
    <x v="2"/>
    <x v="0"/>
    <x v="1"/>
    <x v="6"/>
    <n v="0"/>
    <n v="0"/>
    <n v="4.8380000000000001"/>
    <n v="4.8380000000000001"/>
    <n v="4.8380000000000001"/>
    <n v="4.8380000000000001"/>
    <n v="57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1.3750423022429459E-13"/>
    <x v="4"/>
  </r>
  <r>
    <s v="Regular"/>
    <x v="1"/>
    <x v="2"/>
    <x v="2"/>
    <x v="6"/>
    <x v="2"/>
    <x v="0"/>
    <x v="1"/>
    <x v="7"/>
    <n v="0"/>
    <n v="0"/>
    <n v="4.3819999999999997"/>
    <n v="4.3819999999999997"/>
    <n v="4.3819999999999997"/>
    <n v="4.3819999999999997"/>
    <n v="48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1.2454393072403035E-13"/>
    <x v="4"/>
  </r>
  <r>
    <s v="Regular"/>
    <x v="1"/>
    <x v="2"/>
    <x v="2"/>
    <x v="6"/>
    <x v="2"/>
    <x v="0"/>
    <x v="1"/>
    <x v="8"/>
    <n v="0"/>
    <n v="0"/>
    <n v="2.6850000000000001"/>
    <n v="2.6850000000000001"/>
    <n v="2.6850000000000001"/>
    <n v="2.6850000000000001"/>
    <n v="37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7.6312289820634761E-14"/>
    <x v="4"/>
  </r>
  <r>
    <s v="Regular"/>
    <x v="1"/>
    <x v="2"/>
    <x v="2"/>
    <x v="6"/>
    <x v="2"/>
    <x v="0"/>
    <x v="1"/>
    <x v="9"/>
    <n v="0"/>
    <n v="0"/>
    <n v="1.996"/>
    <n v="1.996"/>
    <n v="1.996"/>
    <n v="1.996"/>
    <n v="27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5.6729732023086399E-14"/>
    <x v="4"/>
  </r>
  <r>
    <s v="Regular"/>
    <x v="1"/>
    <x v="2"/>
    <x v="2"/>
    <x v="6"/>
    <x v="2"/>
    <x v="0"/>
    <x v="1"/>
    <x v="10"/>
    <n v="0"/>
    <n v="0"/>
    <n v="2.0640000000000001"/>
    <n v="2.0640000000000001"/>
    <n v="2.0640000000000001"/>
    <n v="2.0640000000000001"/>
    <n v="27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5.8662408264353873E-14"/>
    <x v="4"/>
  </r>
  <r>
    <s v="Regular"/>
    <x v="1"/>
    <x v="2"/>
    <x v="2"/>
    <x v="6"/>
    <x v="2"/>
    <x v="0"/>
    <x v="1"/>
    <x v="11"/>
    <n v="0"/>
    <n v="0"/>
    <n v="2.57"/>
    <n v="2.57"/>
    <n v="2.57"/>
    <n v="2.57"/>
    <n v="28"/>
    <s v="CATIVO"/>
    <n v="0"/>
    <n v="0"/>
    <n v="23"/>
    <n v="43"/>
    <n v="0"/>
    <n v="311.93"/>
    <n v="267.91000000000003"/>
    <m/>
    <n v="347.29086710316517"/>
    <n v="185.42082399535556"/>
    <n v="0"/>
    <n v="0"/>
    <n v="0"/>
    <n v="7.3043793236138295E-14"/>
    <x v="4"/>
  </r>
  <r>
    <s v="Regular"/>
    <x v="2"/>
    <x v="2"/>
    <x v="1"/>
    <x v="1"/>
    <x v="3"/>
    <x v="0"/>
    <x v="1"/>
    <x v="0"/>
    <n v="0"/>
    <n v="0"/>
    <n v="114.512"/>
    <n v="114.512"/>
    <n v="114.512"/>
    <n v="114.512"/>
    <n v="0"/>
    <s v="CATIVO"/>
    <n v="0"/>
    <n v="0"/>
    <n v="20"/>
    <n v="52"/>
    <n v="0"/>
    <n v="323.62"/>
    <n v="235.76"/>
    <m/>
    <n v="430.34571793331889"/>
    <n v="174.29557455563423"/>
    <n v="0"/>
    <n v="8734.9753600000095"/>
    <n v="0"/>
    <n v="4419.4904480103278"/>
    <x v="2"/>
  </r>
  <r>
    <s v="Regular"/>
    <x v="2"/>
    <x v="2"/>
    <x v="1"/>
    <x v="1"/>
    <x v="3"/>
    <x v="0"/>
    <x v="1"/>
    <x v="1"/>
    <n v="0"/>
    <n v="0"/>
    <n v="145.73699999999999"/>
    <n v="145.73699999999999"/>
    <n v="145.73699999999999"/>
    <n v="145.73699999999999"/>
    <n v="0"/>
    <s v="CATIVO"/>
    <n v="0"/>
    <n v="0"/>
    <n v="20"/>
    <n v="52"/>
    <n v="0"/>
    <n v="323.62"/>
    <n v="235.76"/>
    <m/>
    <n v="430.34571793331889"/>
    <n v="174.29557455563423"/>
    <n v="0"/>
    <n v="11116.818360000012"/>
    <n v="0"/>
    <n v="5624.5920027742168"/>
    <x v="2"/>
  </r>
  <r>
    <s v="Regular"/>
    <x v="2"/>
    <x v="2"/>
    <x v="1"/>
    <x v="1"/>
    <x v="3"/>
    <x v="0"/>
    <x v="1"/>
    <x v="2"/>
    <n v="0"/>
    <n v="0"/>
    <n v="36.270000000000003"/>
    <n v="36.270000000000003"/>
    <n v="36.270000000000003"/>
    <n v="36.270000000000003"/>
    <n v="0"/>
    <s v="CATIVO"/>
    <n v="0"/>
    <n v="0"/>
    <n v="20"/>
    <n v="52"/>
    <n v="0"/>
    <n v="323.62"/>
    <n v="235.76"/>
    <m/>
    <n v="430.34571793331889"/>
    <n v="174.29557455563423"/>
    <n v="0"/>
    <n v="2766.6756000000032"/>
    <n v="0"/>
    <n v="1399.8089156536835"/>
    <x v="2"/>
  </r>
  <r>
    <s v="Regular"/>
    <x v="2"/>
    <x v="2"/>
    <x v="1"/>
    <x v="1"/>
    <x v="3"/>
    <x v="0"/>
    <x v="1"/>
    <x v="3"/>
    <n v="0"/>
    <n v="0"/>
    <n v="29.285"/>
    <n v="29.285"/>
    <n v="29.285"/>
    <n v="29.285"/>
    <n v="0"/>
    <s v="CATIVO"/>
    <n v="0"/>
    <n v="0"/>
    <n v="20"/>
    <n v="52"/>
    <n v="0"/>
    <n v="323.62"/>
    <n v="235.76"/>
    <m/>
    <n v="430.34571793331889"/>
    <n v="174.29557455563423"/>
    <n v="0"/>
    <n v="2233.8598000000025"/>
    <n v="0"/>
    <n v="1130.2289521620655"/>
    <x v="2"/>
  </r>
  <r>
    <s v="Regular"/>
    <x v="2"/>
    <x v="2"/>
    <x v="1"/>
    <x v="1"/>
    <x v="3"/>
    <x v="0"/>
    <x v="1"/>
    <x v="4"/>
    <n v="0"/>
    <n v="0"/>
    <n v="12.792"/>
    <n v="12.792"/>
    <n v="12.792"/>
    <n v="12.792"/>
    <n v="0"/>
    <s v="CATIVO"/>
    <n v="0"/>
    <n v="0"/>
    <n v="20"/>
    <n v="52"/>
    <n v="0"/>
    <n v="323.62"/>
    <n v="235.76"/>
    <m/>
    <n v="430.34571793331889"/>
    <n v="174.29557455563423"/>
    <n v="0"/>
    <n v="975.77376000000106"/>
    <n v="0"/>
    <n v="493.69604767140663"/>
    <x v="2"/>
  </r>
  <r>
    <s v="Regular"/>
    <x v="2"/>
    <x v="2"/>
    <x v="1"/>
    <x v="1"/>
    <x v="3"/>
    <x v="0"/>
    <x v="1"/>
    <x v="5"/>
    <n v="0"/>
    <n v="0"/>
    <n v="7.1849999999999996"/>
    <n v="7.1849999999999996"/>
    <n v="7.1849999999999996"/>
    <n v="7.1849999999999996"/>
    <n v="0"/>
    <s v="CATIVO"/>
    <n v="0"/>
    <n v="0"/>
    <n v="20"/>
    <n v="52"/>
    <n v="0"/>
    <n v="323.62"/>
    <n v="235.76"/>
    <m/>
    <n v="430.34571793331889"/>
    <n v="174.29557455563423"/>
    <n v="0"/>
    <n v="548.07180000000062"/>
    <n v="0"/>
    <n v="277.29878850211509"/>
    <x v="2"/>
  </r>
  <r>
    <s v="Regular"/>
    <x v="2"/>
    <x v="2"/>
    <x v="1"/>
    <x v="1"/>
    <x v="3"/>
    <x v="0"/>
    <x v="1"/>
    <x v="6"/>
    <n v="0"/>
    <n v="0"/>
    <n v="22.152000000000001"/>
    <n v="22.152000000000001"/>
    <n v="22.152000000000001"/>
    <n v="22.152000000000001"/>
    <n v="0"/>
    <s v="CATIVO"/>
    <n v="0"/>
    <n v="0"/>
    <n v="20"/>
    <n v="52"/>
    <n v="0"/>
    <n v="323.62"/>
    <n v="235.76"/>
    <m/>
    <n v="430.34571793331889"/>
    <n v="174.29557455563423"/>
    <n v="0"/>
    <n v="1689.7545600000019"/>
    <n v="0"/>
    <n v="854.93705816267982"/>
    <x v="2"/>
  </r>
  <r>
    <s v="Regular"/>
    <x v="2"/>
    <x v="2"/>
    <x v="1"/>
    <x v="1"/>
    <x v="3"/>
    <x v="0"/>
    <x v="1"/>
    <x v="7"/>
    <n v="0"/>
    <n v="0"/>
    <n v="31.698"/>
    <n v="31.698"/>
    <n v="31.698"/>
    <n v="31.698"/>
    <n v="0"/>
    <s v="CATIVO"/>
    <n v="0"/>
    <n v="0"/>
    <n v="20"/>
    <n v="52"/>
    <n v="0"/>
    <n v="323.62"/>
    <n v="235.76"/>
    <m/>
    <n v="430.34571793331889"/>
    <n v="174.29557455563423"/>
    <n v="0"/>
    <n v="2417.9234400000028"/>
    <n v="0"/>
    <n v="1223.3565759137155"/>
    <x v="2"/>
  </r>
  <r>
    <s v="Regular"/>
    <x v="2"/>
    <x v="2"/>
    <x v="1"/>
    <x v="1"/>
    <x v="3"/>
    <x v="0"/>
    <x v="1"/>
    <x v="8"/>
    <n v="0"/>
    <n v="0"/>
    <n v="96.450999999999993"/>
    <n v="96.450999999999993"/>
    <n v="96.450999999999993"/>
    <n v="96.450999999999993"/>
    <n v="0"/>
    <s v="CATIVO"/>
    <n v="0"/>
    <n v="0"/>
    <n v="20"/>
    <n v="52"/>
    <n v="0"/>
    <n v="323.62"/>
    <n v="235.76"/>
    <m/>
    <n v="430.34571793331889"/>
    <n v="174.29557455563423"/>
    <n v="0"/>
    <n v="7357.2822800000076"/>
    <n v="0"/>
    <n v="3722.4419554373699"/>
    <x v="2"/>
  </r>
  <r>
    <s v="Regular"/>
    <x v="2"/>
    <x v="2"/>
    <x v="1"/>
    <x v="1"/>
    <x v="3"/>
    <x v="0"/>
    <x v="1"/>
    <x v="9"/>
    <n v="0"/>
    <n v="0"/>
    <n v="107.41500000000001"/>
    <n v="107.41500000000001"/>
    <n v="107.41500000000001"/>
    <n v="107.41500000000001"/>
    <n v="0"/>
    <s v="CATIVO"/>
    <n v="0"/>
    <n v="0"/>
    <n v="20"/>
    <n v="52"/>
    <n v="0"/>
    <n v="323.62"/>
    <n v="235.76"/>
    <m/>
    <n v="430.34571793331889"/>
    <n v="174.29557455563423"/>
    <n v="0"/>
    <n v="8193.6162000000095"/>
    <n v="0"/>
    <n v="4145.5879425128323"/>
    <x v="2"/>
  </r>
  <r>
    <s v="Regular"/>
    <x v="2"/>
    <x v="2"/>
    <x v="1"/>
    <x v="1"/>
    <x v="3"/>
    <x v="0"/>
    <x v="1"/>
    <x v="10"/>
    <n v="0"/>
    <n v="0"/>
    <n v="104.85899999999999"/>
    <n v="104.85899999999999"/>
    <n v="104.85899999999999"/>
    <n v="104.85899999999999"/>
    <n v="0"/>
    <s v="CATIVO"/>
    <n v="0"/>
    <n v="0"/>
    <n v="20"/>
    <n v="52"/>
    <n v="0"/>
    <n v="323.62"/>
    <n v="235.76"/>
    <m/>
    <n v="430.34571793331889"/>
    <n v="174.29557455563423"/>
    <n v="0"/>
    <n v="7998.6445200000089"/>
    <n v="0"/>
    <n v="4046.9413588786761"/>
    <x v="2"/>
  </r>
  <r>
    <s v="Regular"/>
    <x v="2"/>
    <x v="2"/>
    <x v="1"/>
    <x v="1"/>
    <x v="3"/>
    <x v="0"/>
    <x v="1"/>
    <x v="11"/>
    <n v="0"/>
    <n v="0"/>
    <n v="156.339"/>
    <n v="156.339"/>
    <n v="156.339"/>
    <n v="156.339"/>
    <n v="0"/>
    <s v="CATIVO"/>
    <n v="0"/>
    <n v="0"/>
    <n v="20"/>
    <n v="52"/>
    <n v="0"/>
    <n v="323.62"/>
    <n v="235.76"/>
    <m/>
    <n v="430.34571793331889"/>
    <n v="174.29557455563423"/>
    <n v="0"/>
    <n v="11925.538920000014"/>
    <n v="0"/>
    <n v="6033.7669165806783"/>
    <x v="2"/>
  </r>
  <r>
    <s v="Regular"/>
    <x v="2"/>
    <x v="2"/>
    <x v="1"/>
    <x v="1"/>
    <x v="1"/>
    <x v="0"/>
    <x v="1"/>
    <x v="0"/>
    <n v="0"/>
    <n v="0"/>
    <n v="87.742000000000004"/>
    <n v="35.096800000000002"/>
    <n v="87.742000000000004"/>
    <n v="35.096800000000002"/>
    <n v="0"/>
    <s v="CATIVO"/>
    <n v="0"/>
    <n v="0"/>
    <n v="20"/>
    <n v="52"/>
    <n v="0"/>
    <n v="323.62"/>
    <n v="235.76"/>
    <m/>
    <n v="430.34571793331889"/>
    <n v="174.29557455563423"/>
    <n v="0"/>
    <n v="36141.63173600001"/>
    <n v="0"/>
    <n v="35217.787491694704"/>
    <x v="1"/>
  </r>
  <r>
    <s v="Regular"/>
    <x v="2"/>
    <x v="2"/>
    <x v="1"/>
    <x v="1"/>
    <x v="1"/>
    <x v="0"/>
    <x v="1"/>
    <x v="1"/>
    <n v="0"/>
    <n v="0"/>
    <n v="112.003"/>
    <n v="44.801200000000001"/>
    <n v="112.003"/>
    <n v="44.801200000000001"/>
    <n v="0"/>
    <s v="CATIVO"/>
    <n v="0"/>
    <n v="0"/>
    <n v="20"/>
    <n v="52"/>
    <n v="0"/>
    <n v="323.62"/>
    <n v="235.76"/>
    <m/>
    <n v="430.34571793331889"/>
    <n v="174.29557455563423"/>
    <n v="0"/>
    <n v="46134.931724000009"/>
    <n v="0"/>
    <n v="44955.640997837763"/>
    <x v="1"/>
  </r>
  <r>
    <s v="Regular"/>
    <x v="2"/>
    <x v="2"/>
    <x v="1"/>
    <x v="1"/>
    <x v="1"/>
    <x v="0"/>
    <x v="1"/>
    <x v="2"/>
    <n v="0"/>
    <n v="0"/>
    <n v="22.62"/>
    <n v="9.048"/>
    <n v="22.62"/>
    <n v="9.048"/>
    <n v="0"/>
    <s v="CATIVO"/>
    <n v="0"/>
    <n v="0"/>
    <n v="20"/>
    <n v="52"/>
    <n v="0"/>
    <n v="323.62"/>
    <n v="235.76"/>
    <m/>
    <n v="430.34571793331889"/>
    <n v="174.29557455563423"/>
    <n v="0"/>
    <n v="9317.3589600000032"/>
    <n v="0"/>
    <n v="9079.1907303473163"/>
    <x v="1"/>
  </r>
  <r>
    <s v="Regular"/>
    <x v="2"/>
    <x v="2"/>
    <x v="1"/>
    <x v="1"/>
    <x v="1"/>
    <x v="0"/>
    <x v="1"/>
    <x v="3"/>
    <n v="0"/>
    <n v="0"/>
    <n v="17.277999999999999"/>
    <n v="6.9112"/>
    <n v="17.277999999999999"/>
    <n v="6.9112"/>
    <n v="0"/>
    <s v="CATIVO"/>
    <n v="0"/>
    <n v="0"/>
    <n v="20"/>
    <n v="52"/>
    <n v="0"/>
    <n v="323.62"/>
    <n v="235.76"/>
    <m/>
    <n v="430.34571793331889"/>
    <n v="174.29557455563423"/>
    <n v="0"/>
    <n v="7116.9464240000007"/>
    <n v="0"/>
    <n v="6935.0246436313391"/>
    <x v="1"/>
  </r>
  <r>
    <s v="Regular"/>
    <x v="2"/>
    <x v="2"/>
    <x v="1"/>
    <x v="1"/>
    <x v="1"/>
    <x v="0"/>
    <x v="1"/>
    <x v="4"/>
    <n v="0"/>
    <n v="0"/>
    <n v="5.5650000000000004"/>
    <n v="2.226"/>
    <n v="5.5650000000000004"/>
    <n v="2.226"/>
    <n v="0"/>
    <s v="CATIVO"/>
    <n v="0"/>
    <n v="0"/>
    <n v="20"/>
    <n v="52"/>
    <n v="0"/>
    <n v="323.62"/>
    <n v="235.76"/>
    <m/>
    <n v="430.34571793331889"/>
    <n v="174.29557455563423"/>
    <n v="0"/>
    <n v="2292.2680200000009"/>
    <n v="0"/>
    <n v="2233.6735815377019"/>
    <x v="1"/>
  </r>
  <r>
    <s v="Regular"/>
    <x v="2"/>
    <x v="2"/>
    <x v="1"/>
    <x v="1"/>
    <x v="1"/>
    <x v="0"/>
    <x v="1"/>
    <x v="5"/>
    <n v="0"/>
    <n v="0"/>
    <n v="4.9180000000000001"/>
    <n v="1.9672000000000001"/>
    <n v="4.9180000000000001"/>
    <n v="1.9672000000000001"/>
    <n v="0"/>
    <s v="CATIVO"/>
    <n v="0"/>
    <n v="0"/>
    <n v="20"/>
    <n v="52"/>
    <n v="0"/>
    <n v="323.62"/>
    <n v="235.76"/>
    <m/>
    <n v="430.34571793331889"/>
    <n v="174.29557455563423"/>
    <n v="0"/>
    <n v="2025.7635440000004"/>
    <n v="0"/>
    <n v="1973.9814328845312"/>
    <x v="1"/>
  </r>
  <r>
    <s v="Regular"/>
    <x v="2"/>
    <x v="2"/>
    <x v="1"/>
    <x v="1"/>
    <x v="1"/>
    <x v="0"/>
    <x v="1"/>
    <x v="6"/>
    <n v="0"/>
    <n v="0"/>
    <n v="12.819000000000001"/>
    <n v="5.1276000000000002"/>
    <n v="12.819000000000001"/>
    <n v="5.1276000000000002"/>
    <n v="0"/>
    <s v="CATIVO"/>
    <n v="0"/>
    <n v="0"/>
    <n v="20"/>
    <n v="52"/>
    <n v="0"/>
    <n v="323.62"/>
    <n v="235.76"/>
    <m/>
    <n v="430.34571793331889"/>
    <n v="174.29557455563423"/>
    <n v="0"/>
    <n v="5280.248652000002"/>
    <n v="0"/>
    <n v="5145.2761260973575"/>
    <x v="1"/>
  </r>
  <r>
    <s v="Regular"/>
    <x v="2"/>
    <x v="2"/>
    <x v="1"/>
    <x v="1"/>
    <x v="1"/>
    <x v="0"/>
    <x v="1"/>
    <x v="7"/>
    <n v="0"/>
    <n v="0"/>
    <n v="23.279"/>
    <n v="9.3116000000000003"/>
    <n v="23.279"/>
    <n v="9.3116000000000003"/>
    <n v="0"/>
    <s v="CATIVO"/>
    <n v="0"/>
    <n v="0"/>
    <n v="20"/>
    <n v="52"/>
    <n v="0"/>
    <n v="323.62"/>
    <n v="235.76"/>
    <m/>
    <n v="430.34571793331889"/>
    <n v="174.29557455563423"/>
    <n v="0"/>
    <n v="9588.8063320000019"/>
    <n v="0"/>
    <n v="9343.6994258070354"/>
    <x v="1"/>
  </r>
  <r>
    <s v="Regular"/>
    <x v="2"/>
    <x v="2"/>
    <x v="1"/>
    <x v="1"/>
    <x v="1"/>
    <x v="0"/>
    <x v="1"/>
    <x v="8"/>
    <n v="0"/>
    <n v="0"/>
    <n v="71.798000000000002"/>
    <n v="28.719200000000001"/>
    <n v="71.798000000000002"/>
    <n v="28.719200000000001"/>
    <n v="0"/>
    <s v="CATIVO"/>
    <n v="0"/>
    <n v="0"/>
    <n v="20"/>
    <n v="52"/>
    <n v="0"/>
    <n v="323.62"/>
    <n v="235.76"/>
    <m/>
    <n v="430.34571793331889"/>
    <n v="174.29557455563423"/>
    <n v="0"/>
    <n v="29574.170584000007"/>
    <n v="0"/>
    <n v="28818.202301391539"/>
    <x v="1"/>
  </r>
  <r>
    <s v="Regular"/>
    <x v="2"/>
    <x v="2"/>
    <x v="1"/>
    <x v="1"/>
    <x v="1"/>
    <x v="0"/>
    <x v="1"/>
    <x v="9"/>
    <n v="0"/>
    <n v="0"/>
    <n v="83.411000000000001"/>
    <n v="33.364400000000003"/>
    <n v="83.411000000000001"/>
    <n v="33.364400000000003"/>
    <n v="0"/>
    <s v="CATIVO"/>
    <n v="0"/>
    <n v="0"/>
    <n v="20"/>
    <n v="52"/>
    <n v="0"/>
    <n v="323.62"/>
    <n v="235.76"/>
    <m/>
    <n v="430.34571793331889"/>
    <n v="174.29557455563423"/>
    <n v="0"/>
    <n v="34357.658188000009"/>
    <n v="0"/>
    <n v="33479.415473430585"/>
    <x v="1"/>
  </r>
  <r>
    <s v="Regular"/>
    <x v="2"/>
    <x v="2"/>
    <x v="1"/>
    <x v="1"/>
    <x v="1"/>
    <x v="0"/>
    <x v="1"/>
    <x v="10"/>
    <n v="0"/>
    <n v="0"/>
    <n v="91.402000000000001"/>
    <n v="36.5608"/>
    <n v="91.402000000000001"/>
    <n v="36.5608"/>
    <n v="0"/>
    <s v="CATIVO"/>
    <n v="0"/>
    <n v="0"/>
    <n v="20"/>
    <n v="52"/>
    <n v="0"/>
    <n v="323.62"/>
    <n v="235.76"/>
    <m/>
    <n v="430.34571793331889"/>
    <n v="174.29557455563423"/>
    <n v="0"/>
    <n v="37649.215016000009"/>
    <n v="0"/>
    <n v="36686.834267692546"/>
    <x v="1"/>
  </r>
  <r>
    <s v="Regular"/>
    <x v="2"/>
    <x v="2"/>
    <x v="1"/>
    <x v="1"/>
    <x v="1"/>
    <x v="0"/>
    <x v="1"/>
    <x v="11"/>
    <n v="0"/>
    <n v="0"/>
    <n v="122.92100000000001"/>
    <n v="49.168399999999998"/>
    <n v="122.92100000000001"/>
    <n v="49.168399999999998"/>
    <n v="0"/>
    <s v="CATIVO"/>
    <n v="0"/>
    <n v="0"/>
    <n v="20"/>
    <n v="52"/>
    <n v="0"/>
    <n v="323.62"/>
    <n v="235.76"/>
    <m/>
    <n v="430.34571793331889"/>
    <n v="174.29557455563423"/>
    <n v="0"/>
    <n v="50632.143268000014"/>
    <n v="0"/>
    <n v="49337.895833997456"/>
    <x v="1"/>
  </r>
  <r>
    <s v="Regular"/>
    <x v="2"/>
    <x v="2"/>
    <x v="1"/>
    <x v="7"/>
    <x v="3"/>
    <x v="0"/>
    <x v="1"/>
    <x v="9"/>
    <n v="0"/>
    <n v="0"/>
    <n v="1.6659999999999999"/>
    <n v="1.6659999999999999"/>
    <n v="1.6659999999999999"/>
    <n v="1.6659999999999999"/>
    <n v="0"/>
    <s v="CATIVO"/>
    <n v="0"/>
    <n v="0"/>
    <n v="20"/>
    <n v="52"/>
    <n v="0"/>
    <n v="323.62"/>
    <n v="235.76"/>
    <m/>
    <n v="430.34571793331889"/>
    <n v="174.29557455563423"/>
    <n v="0"/>
    <n v="127.08248000000013"/>
    <n v="0"/>
    <n v="64.297812337442423"/>
    <x v="2"/>
  </r>
  <r>
    <s v="Regular"/>
    <x v="2"/>
    <x v="2"/>
    <x v="1"/>
    <x v="7"/>
    <x v="3"/>
    <x v="0"/>
    <x v="1"/>
    <x v="10"/>
    <n v="0"/>
    <n v="0"/>
    <n v="1.6279999999999999"/>
    <n v="1.6279999999999999"/>
    <n v="1.6279999999999999"/>
    <n v="1.6279999999999999"/>
    <n v="0"/>
    <s v="CATIVO"/>
    <n v="0"/>
    <n v="0"/>
    <n v="20"/>
    <n v="52"/>
    <n v="0"/>
    <n v="323.62"/>
    <n v="235.76"/>
    <m/>
    <n v="430.34571793331889"/>
    <n v="174.29557455563423"/>
    <n v="0"/>
    <n v="124.18384000000013"/>
    <n v="0"/>
    <n v="62.831235585447935"/>
    <x v="2"/>
  </r>
  <r>
    <s v="Regular"/>
    <x v="2"/>
    <x v="2"/>
    <x v="1"/>
    <x v="7"/>
    <x v="3"/>
    <x v="0"/>
    <x v="1"/>
    <x v="11"/>
    <n v="0"/>
    <n v="0"/>
    <n v="0.871"/>
    <n v="0.871"/>
    <n v="0.871"/>
    <n v="0.871"/>
    <n v="0"/>
    <s v="CATIVO"/>
    <n v="0"/>
    <n v="0"/>
    <n v="20"/>
    <n v="52"/>
    <n v="0"/>
    <n v="323.62"/>
    <n v="235.76"/>
    <m/>
    <n v="430.34571793331889"/>
    <n v="174.29557455563423"/>
    <n v="0"/>
    <n v="66.439880000000073"/>
    <n v="0"/>
    <n v="33.615482920715692"/>
    <x v="2"/>
  </r>
  <r>
    <s v="Regular"/>
    <x v="2"/>
    <x v="2"/>
    <x v="1"/>
    <x v="7"/>
    <x v="1"/>
    <x v="0"/>
    <x v="1"/>
    <x v="10"/>
    <n v="0"/>
    <n v="0"/>
    <n v="1.3620000000000001"/>
    <n v="0.54479999999999995"/>
    <n v="1.3620000000000001"/>
    <n v="0.54479999999999995"/>
    <n v="0"/>
    <s v="CATIVO"/>
    <n v="0"/>
    <n v="0"/>
    <n v="20"/>
    <n v="52"/>
    <n v="0"/>
    <n v="323.62"/>
    <n v="235.76"/>
    <m/>
    <n v="430.34571793331889"/>
    <n v="174.29557455563423"/>
    <n v="0"/>
    <n v="561.0186960000002"/>
    <n v="0"/>
    <n v="546.67806254345919"/>
    <x v="1"/>
  </r>
  <r>
    <s v="Regular"/>
    <x v="2"/>
    <x v="2"/>
    <x v="1"/>
    <x v="7"/>
    <x v="1"/>
    <x v="0"/>
    <x v="1"/>
    <x v="11"/>
    <n v="0"/>
    <n v="0"/>
    <n v="0.73199999999999998"/>
    <n v="0.2928"/>
    <n v="0.73199999999999998"/>
    <n v="0.2928"/>
    <n v="0"/>
    <s v="CATIVO"/>
    <n v="0"/>
    <n v="0"/>
    <n v="20"/>
    <n v="52"/>
    <n v="0"/>
    <n v="323.62"/>
    <n v="235.76"/>
    <m/>
    <n v="430.34571793331889"/>
    <n v="174.29557455563423"/>
    <n v="0"/>
    <n v="301.51665600000001"/>
    <n v="0"/>
    <n v="293.80935519956824"/>
    <x v="1"/>
  </r>
  <r>
    <s v="Regular"/>
    <x v="2"/>
    <x v="2"/>
    <x v="1"/>
    <x v="0"/>
    <x v="2"/>
    <x v="0"/>
    <x v="1"/>
    <x v="0"/>
    <n v="0"/>
    <n v="0"/>
    <n v="393.584"/>
    <n v="393.584"/>
    <n v="393.584"/>
    <n v="393.584"/>
    <n v="412"/>
    <s v="CATIVO"/>
    <n v="0"/>
    <n v="0"/>
    <n v="20"/>
    <n v="52"/>
    <n v="0"/>
    <n v="323.62"/>
    <n v="235.76"/>
    <m/>
    <n v="430.34571793331889"/>
    <n v="174.29557455563423"/>
    <n v="0"/>
    <n v="30022.587520000034"/>
    <n v="0"/>
    <n v="15190.030114657826"/>
    <x v="2"/>
  </r>
  <r>
    <s v="Sistema de Compensação"/>
    <x v="2"/>
    <x v="2"/>
    <x v="1"/>
    <x v="0"/>
    <x v="2"/>
    <x v="0"/>
    <x v="1"/>
    <x v="0"/>
    <n v="0"/>
    <n v="0"/>
    <n v="6.82"/>
    <n v="6.82"/>
    <n v="6.82"/>
    <n v="6.82"/>
    <n v="2"/>
    <s v="CATIVO"/>
    <n v="0"/>
    <n v="0"/>
    <n v="20"/>
    <n v="52"/>
    <n v="0"/>
    <n v="323.62"/>
    <n v="235.76"/>
    <m/>
    <n v="430.34571793331889"/>
    <n v="174.29557455563423"/>
    <n v="0"/>
    <n v="520.22960000000057"/>
    <n v="0"/>
    <n v="263.21193285795761"/>
    <x v="2"/>
  </r>
  <r>
    <s v="Regular"/>
    <x v="2"/>
    <x v="2"/>
    <x v="1"/>
    <x v="0"/>
    <x v="2"/>
    <x v="0"/>
    <x v="1"/>
    <x v="1"/>
    <n v="0"/>
    <n v="0"/>
    <n v="397.71499999999997"/>
    <n v="397.71499999999997"/>
    <n v="397.71499999999997"/>
    <n v="397.71499999999997"/>
    <n v="409"/>
    <s v="CATIVO"/>
    <n v="0"/>
    <n v="0"/>
    <n v="20"/>
    <n v="52"/>
    <n v="0"/>
    <n v="323.62"/>
    <n v="235.76"/>
    <m/>
    <n v="430.34571793331889"/>
    <n v="174.29557455563423"/>
    <n v="0"/>
    <n v="30337.700200000032"/>
    <n v="0"/>
    <n v="15349.462445249646"/>
    <x v="2"/>
  </r>
  <r>
    <s v="Sistema de Compensação"/>
    <x v="2"/>
    <x v="2"/>
    <x v="1"/>
    <x v="0"/>
    <x v="2"/>
    <x v="0"/>
    <x v="1"/>
    <x v="1"/>
    <n v="0"/>
    <n v="0"/>
    <n v="6.7629999999999999"/>
    <n v="6.7629999999999999"/>
    <n v="6.7629999999999999"/>
    <n v="6.7629999999999999"/>
    <n v="3"/>
    <s v="CATIVO"/>
    <n v="0"/>
    <n v="0"/>
    <n v="20"/>
    <n v="52"/>
    <n v="0"/>
    <n v="323.62"/>
    <n v="235.76"/>
    <m/>
    <n v="430.34571793331889"/>
    <n v="174.29557455563423"/>
    <n v="0"/>
    <n v="515.88164000000063"/>
    <n v="0"/>
    <n v="261.01206772996585"/>
    <x v="2"/>
  </r>
  <r>
    <s v="Regular"/>
    <x v="2"/>
    <x v="2"/>
    <x v="1"/>
    <x v="0"/>
    <x v="2"/>
    <x v="0"/>
    <x v="1"/>
    <x v="2"/>
    <n v="0"/>
    <n v="0"/>
    <n v="299.173"/>
    <n v="299.173"/>
    <n v="299.173"/>
    <n v="299.173"/>
    <n v="407"/>
    <s v="CATIVO"/>
    <n v="0"/>
    <n v="0"/>
    <n v="20"/>
    <n v="52"/>
    <n v="0"/>
    <n v="323.62"/>
    <n v="235.76"/>
    <m/>
    <n v="430.34571793331889"/>
    <n v="174.29557455563423"/>
    <n v="0"/>
    <n v="22820.916440000026"/>
    <n v="0"/>
    <n v="11546.320174327528"/>
    <x v="2"/>
  </r>
  <r>
    <s v="Refaturamento - Regular"/>
    <x v="2"/>
    <x v="2"/>
    <x v="1"/>
    <x v="0"/>
    <x v="2"/>
    <x v="0"/>
    <x v="1"/>
    <x v="2"/>
    <n v="0"/>
    <n v="0"/>
    <n v="-3.1520000000000001"/>
    <n v="-3.1520000000000001"/>
    <n v="-3.1520000000000001"/>
    <n v="-3.1520000000000001"/>
    <n v="0"/>
    <s v="CATIVO"/>
    <n v="0"/>
    <n v="0"/>
    <n v="20"/>
    <n v="52"/>
    <n v="0"/>
    <n v="323.62"/>
    <n v="235.76"/>
    <m/>
    <n v="430.34571793331889"/>
    <n v="174.29557455563423"/>
    <n v="0"/>
    <n v="-240.43456000000029"/>
    <n v="0"/>
    <n v="-121.64868216543729"/>
    <x v="2"/>
  </r>
  <r>
    <s v="Sistema de Compensação"/>
    <x v="2"/>
    <x v="2"/>
    <x v="1"/>
    <x v="0"/>
    <x v="2"/>
    <x v="0"/>
    <x v="1"/>
    <x v="2"/>
    <n v="0"/>
    <n v="0"/>
    <n v="5.84"/>
    <n v="5.84"/>
    <n v="5.84"/>
    <n v="5.84"/>
    <n v="3"/>
    <s v="CATIVO"/>
    <n v="0"/>
    <n v="0"/>
    <n v="20"/>
    <n v="52"/>
    <n v="0"/>
    <n v="323.62"/>
    <n v="235.76"/>
    <m/>
    <n v="430.34571793331889"/>
    <n v="174.29557455563423"/>
    <n v="0"/>
    <n v="445.47520000000048"/>
    <n v="0"/>
    <n v="225.38969030652083"/>
    <x v="2"/>
  </r>
  <r>
    <s v="Regular"/>
    <x v="2"/>
    <x v="2"/>
    <x v="1"/>
    <x v="0"/>
    <x v="2"/>
    <x v="0"/>
    <x v="1"/>
    <x v="3"/>
    <n v="0"/>
    <n v="0"/>
    <n v="284.95699999999999"/>
    <n v="284.95699999999999"/>
    <n v="284.95699999999999"/>
    <n v="284.95699999999999"/>
    <n v="405"/>
    <s v="CATIVO"/>
    <n v="0"/>
    <n v="0"/>
    <n v="20"/>
    <n v="52"/>
    <n v="0"/>
    <n v="323.62"/>
    <n v="235.76"/>
    <m/>
    <n v="430.34571793331889"/>
    <n v="174.29557455563423"/>
    <n v="0"/>
    <n v="21736.519960000023"/>
    <n v="0"/>
    <n v="10997.666092581379"/>
    <x v="2"/>
  </r>
  <r>
    <s v="Refaturamento - Regular"/>
    <x v="2"/>
    <x v="2"/>
    <x v="1"/>
    <x v="0"/>
    <x v="2"/>
    <x v="0"/>
    <x v="1"/>
    <x v="3"/>
    <n v="0"/>
    <n v="0"/>
    <n v="-0.1"/>
    <n v="-0.1"/>
    <n v="-0.1"/>
    <n v="-0.1"/>
    <n v="0"/>
    <s v="CATIVO"/>
    <n v="0"/>
    <n v="0"/>
    <n v="20"/>
    <n v="52"/>
    <n v="0"/>
    <n v="323.62"/>
    <n v="235.76"/>
    <m/>
    <n v="430.34571793331889"/>
    <n v="174.29557455563423"/>
    <n v="0"/>
    <n v="-7.628000000000009"/>
    <n v="0"/>
    <n v="-3.859412505248645"/>
    <x v="2"/>
  </r>
  <r>
    <s v="Sistema de Compensação"/>
    <x v="2"/>
    <x v="2"/>
    <x v="1"/>
    <x v="0"/>
    <x v="2"/>
    <x v="0"/>
    <x v="1"/>
    <x v="3"/>
    <n v="0"/>
    <n v="0"/>
    <n v="6.6379999999999999"/>
    <n v="6.6379999999999999"/>
    <n v="6.6379999999999999"/>
    <n v="6.6379999999999999"/>
    <n v="4"/>
    <s v="CATIVO"/>
    <n v="0"/>
    <n v="0"/>
    <n v="20"/>
    <n v="52"/>
    <n v="0"/>
    <n v="323.62"/>
    <n v="235.76"/>
    <m/>
    <n v="430.34571793331889"/>
    <n v="174.29557455563423"/>
    <n v="0"/>
    <n v="506.34664000000055"/>
    <n v="0"/>
    <n v="256.18780209840503"/>
    <x v="2"/>
  </r>
  <r>
    <s v="Regular"/>
    <x v="2"/>
    <x v="2"/>
    <x v="1"/>
    <x v="0"/>
    <x v="2"/>
    <x v="0"/>
    <x v="1"/>
    <x v="4"/>
    <n v="0"/>
    <n v="0"/>
    <n v="271.41300000000001"/>
    <n v="271.41300000000001"/>
    <n v="271.41300000000001"/>
    <n v="271.41300000000001"/>
    <n v="402"/>
    <s v="CATIVO"/>
    <n v="0"/>
    <n v="0"/>
    <n v="20"/>
    <n v="52"/>
    <n v="0"/>
    <n v="323.62"/>
    <n v="235.76"/>
    <m/>
    <n v="430.34571793331889"/>
    <n v="174.29557455563423"/>
    <n v="0"/>
    <n v="20703.383640000025"/>
    <n v="0"/>
    <n v="10474.947262870504"/>
    <x v="2"/>
  </r>
  <r>
    <s v="Refaturamento - Regular"/>
    <x v="2"/>
    <x v="2"/>
    <x v="1"/>
    <x v="0"/>
    <x v="2"/>
    <x v="0"/>
    <x v="1"/>
    <x v="4"/>
    <n v="0"/>
    <n v="0"/>
    <n v="-0.58099999999999996"/>
    <n v="-0.58099999999999996"/>
    <n v="-0.58099999999999996"/>
    <n v="-0.58099999999999996"/>
    <n v="0"/>
    <s v="CATIVO"/>
    <n v="0"/>
    <n v="0"/>
    <n v="20"/>
    <n v="52"/>
    <n v="0"/>
    <n v="323.62"/>
    <n v="235.76"/>
    <m/>
    <n v="430.34571793331889"/>
    <n v="174.29557455563423"/>
    <n v="0"/>
    <n v="-44.31868000000005"/>
    <n v="0"/>
    <n v="-22.423186655494625"/>
    <x v="2"/>
  </r>
  <r>
    <s v="Sistema de Compensação"/>
    <x v="2"/>
    <x v="2"/>
    <x v="1"/>
    <x v="0"/>
    <x v="2"/>
    <x v="0"/>
    <x v="1"/>
    <x v="4"/>
    <n v="0"/>
    <n v="0"/>
    <n v="8.0129999999999999"/>
    <n v="8.0129999999999999"/>
    <n v="8.0129999999999999"/>
    <n v="8.0129999999999999"/>
    <n v="5"/>
    <s v="CATIVO"/>
    <n v="0"/>
    <n v="0"/>
    <n v="20"/>
    <n v="52"/>
    <n v="0"/>
    <n v="323.62"/>
    <n v="235.76"/>
    <m/>
    <n v="430.34571793331889"/>
    <n v="174.29557455563423"/>
    <n v="0"/>
    <n v="611.23164000000065"/>
    <n v="0"/>
    <n v="309.25472404557388"/>
    <x v="2"/>
  </r>
  <r>
    <s v="Regular"/>
    <x v="2"/>
    <x v="2"/>
    <x v="1"/>
    <x v="0"/>
    <x v="2"/>
    <x v="0"/>
    <x v="1"/>
    <x v="5"/>
    <n v="0"/>
    <n v="0"/>
    <n v="282.45800000000003"/>
    <n v="282.45800000000003"/>
    <n v="282.45800000000003"/>
    <n v="282.45800000000003"/>
    <n v="401"/>
    <s v="CATIVO"/>
    <n v="0"/>
    <n v="0"/>
    <n v="20"/>
    <n v="52"/>
    <n v="0"/>
    <n v="323.62"/>
    <n v="235.76"/>
    <m/>
    <n v="430.34571793331889"/>
    <n v="174.29557455563423"/>
    <n v="0"/>
    <n v="21545.896240000027"/>
    <n v="0"/>
    <n v="10901.219374075217"/>
    <x v="2"/>
  </r>
  <r>
    <s v="Sistema de Compensação"/>
    <x v="2"/>
    <x v="2"/>
    <x v="1"/>
    <x v="0"/>
    <x v="2"/>
    <x v="0"/>
    <x v="1"/>
    <x v="5"/>
    <n v="0"/>
    <n v="0"/>
    <n v="5.6319999999999997"/>
    <n v="5.6319999999999997"/>
    <n v="5.6319999999999997"/>
    <n v="5.6319999999999997"/>
    <n v="5"/>
    <s v="CATIVO"/>
    <n v="0"/>
    <n v="0"/>
    <n v="20"/>
    <n v="52"/>
    <n v="0"/>
    <n v="323.62"/>
    <n v="235.76"/>
    <m/>
    <n v="430.34571793331889"/>
    <n v="174.29557455563423"/>
    <n v="0"/>
    <n v="429.60896000000048"/>
    <n v="0"/>
    <n v="217.36211229560365"/>
    <x v="2"/>
  </r>
  <r>
    <s v="Regular"/>
    <x v="2"/>
    <x v="2"/>
    <x v="1"/>
    <x v="0"/>
    <x v="2"/>
    <x v="0"/>
    <x v="1"/>
    <x v="6"/>
    <n v="0"/>
    <n v="0"/>
    <n v="271.971"/>
    <n v="271.971"/>
    <n v="271.971"/>
    <n v="271.971"/>
    <n v="403"/>
    <s v="CATIVO"/>
    <n v="0"/>
    <n v="0"/>
    <n v="20"/>
    <n v="52"/>
    <n v="0"/>
    <n v="323.62"/>
    <n v="235.76"/>
    <m/>
    <n v="430.34571793331889"/>
    <n v="174.29557455563423"/>
    <n v="0"/>
    <n v="20745.947880000025"/>
    <n v="0"/>
    <n v="10496.482784649792"/>
    <x v="2"/>
  </r>
  <r>
    <s v="Sistema de Compensação"/>
    <x v="2"/>
    <x v="2"/>
    <x v="1"/>
    <x v="0"/>
    <x v="2"/>
    <x v="0"/>
    <x v="1"/>
    <x v="6"/>
    <n v="0"/>
    <n v="0"/>
    <n v="9.7609999999999992"/>
    <n v="9.7609999999999992"/>
    <n v="9.7609999999999992"/>
    <n v="9.7609999999999992"/>
    <n v="5"/>
    <s v="CATIVO"/>
    <n v="0"/>
    <n v="0"/>
    <n v="20"/>
    <n v="52"/>
    <n v="0"/>
    <n v="323.62"/>
    <n v="235.76"/>
    <m/>
    <n v="430.34571793331889"/>
    <n v="174.29557455563423"/>
    <n v="0"/>
    <n v="744.56908000000078"/>
    <n v="0"/>
    <n v="376.7172546373202"/>
    <x v="2"/>
  </r>
  <r>
    <s v="Regular"/>
    <x v="2"/>
    <x v="2"/>
    <x v="1"/>
    <x v="0"/>
    <x v="2"/>
    <x v="0"/>
    <x v="1"/>
    <x v="7"/>
    <n v="0"/>
    <n v="0"/>
    <n v="260.178"/>
    <n v="260.178"/>
    <n v="260.178"/>
    <n v="260.178"/>
    <n v="401"/>
    <s v="CATIVO"/>
    <n v="0"/>
    <n v="0"/>
    <n v="20"/>
    <n v="52"/>
    <n v="0"/>
    <n v="323.62"/>
    <n v="235.76"/>
    <m/>
    <n v="430.34571793331889"/>
    <n v="174.29557455563423"/>
    <n v="0"/>
    <n v="19846.377840000023"/>
    <n v="0"/>
    <n v="10041.342267905819"/>
    <x v="2"/>
  </r>
  <r>
    <s v="Sistema de Compensação"/>
    <x v="2"/>
    <x v="2"/>
    <x v="1"/>
    <x v="0"/>
    <x v="2"/>
    <x v="0"/>
    <x v="1"/>
    <x v="7"/>
    <n v="0"/>
    <n v="0"/>
    <n v="7.2590000000000003"/>
    <n v="7.2590000000000003"/>
    <n v="7.2590000000000003"/>
    <n v="7.2590000000000003"/>
    <n v="5"/>
    <s v="CATIVO"/>
    <n v="0"/>
    <n v="0"/>
    <n v="20"/>
    <n v="52"/>
    <n v="0"/>
    <n v="323.62"/>
    <n v="235.76"/>
    <m/>
    <n v="430.34571793331889"/>
    <n v="174.29557455563423"/>
    <n v="0"/>
    <n v="553.71652000000063"/>
    <n v="0"/>
    <n v="280.15475375599914"/>
    <x v="2"/>
  </r>
  <r>
    <s v="Regular"/>
    <x v="2"/>
    <x v="2"/>
    <x v="1"/>
    <x v="0"/>
    <x v="2"/>
    <x v="0"/>
    <x v="1"/>
    <x v="8"/>
    <n v="0"/>
    <n v="0"/>
    <n v="290.74700000000001"/>
    <n v="290.74700000000001"/>
    <n v="290.74700000000001"/>
    <n v="290.74700000000001"/>
    <n v="400"/>
    <s v="CATIVO"/>
    <n v="0"/>
    <n v="0"/>
    <n v="20"/>
    <n v="52"/>
    <n v="0"/>
    <n v="323.62"/>
    <n v="235.76"/>
    <m/>
    <n v="430.34571793331889"/>
    <n v="174.29557455563423"/>
    <n v="0"/>
    <n v="22178.181160000026"/>
    <n v="0"/>
    <n v="11221.126076635277"/>
    <x v="2"/>
  </r>
  <r>
    <s v="Sistema de Compensação"/>
    <x v="2"/>
    <x v="2"/>
    <x v="1"/>
    <x v="0"/>
    <x v="2"/>
    <x v="0"/>
    <x v="1"/>
    <x v="8"/>
    <n v="0"/>
    <n v="0"/>
    <n v="7.97"/>
    <n v="7.97"/>
    <n v="7.97"/>
    <n v="7.97"/>
    <n v="6"/>
    <s v="CATIVO"/>
    <n v="0"/>
    <n v="0"/>
    <n v="20"/>
    <n v="52"/>
    <n v="0"/>
    <n v="323.62"/>
    <n v="235.76"/>
    <m/>
    <n v="430.34571793331889"/>
    <n v="174.29557455563423"/>
    <n v="0"/>
    <n v="607.95160000000067"/>
    <n v="0"/>
    <n v="307.59517666831698"/>
    <x v="2"/>
  </r>
  <r>
    <s v="Regular"/>
    <x v="2"/>
    <x v="2"/>
    <x v="1"/>
    <x v="0"/>
    <x v="2"/>
    <x v="0"/>
    <x v="1"/>
    <x v="9"/>
    <n v="0"/>
    <n v="0"/>
    <n v="250.00200000000001"/>
    <n v="250.00200000000001"/>
    <n v="250.00200000000001"/>
    <n v="250.00200000000001"/>
    <n v="401"/>
    <s v="CATIVO"/>
    <n v="0"/>
    <n v="0"/>
    <n v="20"/>
    <n v="52"/>
    <n v="0"/>
    <n v="323.62"/>
    <n v="235.76"/>
    <m/>
    <n v="430.34571793331889"/>
    <n v="174.29557455563423"/>
    <n v="0"/>
    <n v="19070.152560000024"/>
    <n v="0"/>
    <n v="9648.6084513717178"/>
    <x v="2"/>
  </r>
  <r>
    <s v="Sistema de Compensação"/>
    <x v="2"/>
    <x v="2"/>
    <x v="1"/>
    <x v="0"/>
    <x v="2"/>
    <x v="0"/>
    <x v="1"/>
    <x v="9"/>
    <n v="0"/>
    <n v="0"/>
    <n v="12.179"/>
    <n v="12.179"/>
    <n v="12.179"/>
    <n v="12.179"/>
    <n v="8"/>
    <s v="CATIVO"/>
    <n v="0"/>
    <n v="0"/>
    <n v="20"/>
    <n v="52"/>
    <n v="0"/>
    <n v="323.62"/>
    <n v="235.76"/>
    <m/>
    <n v="430.34571793331889"/>
    <n v="174.29557455563423"/>
    <n v="0"/>
    <n v="929.01412000000107"/>
    <n v="0"/>
    <n v="470.03784901423245"/>
    <x v="2"/>
  </r>
  <r>
    <s v="Regular"/>
    <x v="2"/>
    <x v="2"/>
    <x v="1"/>
    <x v="0"/>
    <x v="2"/>
    <x v="0"/>
    <x v="1"/>
    <x v="10"/>
    <n v="0"/>
    <n v="0"/>
    <n v="219.17400000000001"/>
    <n v="219.17400000000001"/>
    <n v="219.17400000000001"/>
    <n v="219.17400000000001"/>
    <n v="347"/>
    <s v="CATIVO"/>
    <n v="0"/>
    <n v="0"/>
    <n v="20"/>
    <n v="52"/>
    <n v="0"/>
    <n v="323.62"/>
    <n v="235.76"/>
    <m/>
    <n v="430.34571793331889"/>
    <n v="174.29557455563423"/>
    <n v="0"/>
    <n v="16718.592720000019"/>
    <n v="0"/>
    <n v="8458.8287642536652"/>
    <x v="2"/>
  </r>
  <r>
    <s v="Sistema de Compensação"/>
    <x v="2"/>
    <x v="2"/>
    <x v="1"/>
    <x v="0"/>
    <x v="2"/>
    <x v="0"/>
    <x v="1"/>
    <x v="10"/>
    <n v="0"/>
    <n v="0"/>
    <n v="10.712999999999999"/>
    <n v="10.712999999999999"/>
    <n v="10.712999999999999"/>
    <n v="10.712999999999999"/>
    <n v="8"/>
    <s v="CATIVO"/>
    <n v="0"/>
    <n v="0"/>
    <n v="20"/>
    <n v="52"/>
    <n v="0"/>
    <n v="323.62"/>
    <n v="235.76"/>
    <m/>
    <n v="430.34571793331889"/>
    <n v="174.29557455563423"/>
    <n v="0"/>
    <n v="817.1876400000009"/>
    <n v="0"/>
    <n v="413.45886168728725"/>
    <x v="2"/>
  </r>
  <r>
    <s v="Regular"/>
    <x v="2"/>
    <x v="2"/>
    <x v="1"/>
    <x v="0"/>
    <x v="2"/>
    <x v="0"/>
    <x v="1"/>
    <x v="11"/>
    <n v="0"/>
    <n v="0"/>
    <n v="224.46"/>
    <n v="224.46"/>
    <n v="224.46"/>
    <n v="224.46"/>
    <n v="349"/>
    <s v="CATIVO"/>
    <n v="0"/>
    <n v="0"/>
    <n v="20"/>
    <n v="52"/>
    <n v="0"/>
    <n v="323.62"/>
    <n v="235.76"/>
    <m/>
    <n v="430.34571793331889"/>
    <n v="174.29557455563423"/>
    <n v="0"/>
    <n v="17121.808800000021"/>
    <n v="0"/>
    <n v="8662.8373092811089"/>
    <x v="2"/>
  </r>
  <r>
    <s v="Sistema de Compensação"/>
    <x v="2"/>
    <x v="2"/>
    <x v="1"/>
    <x v="0"/>
    <x v="2"/>
    <x v="0"/>
    <x v="1"/>
    <x v="11"/>
    <n v="0"/>
    <n v="0"/>
    <n v="10.497"/>
    <n v="10.497"/>
    <n v="10.497"/>
    <n v="10.497"/>
    <n v="9"/>
    <s v="CATIVO"/>
    <n v="0"/>
    <n v="0"/>
    <n v="20"/>
    <n v="52"/>
    <n v="0"/>
    <n v="323.62"/>
    <n v="235.76"/>
    <m/>
    <n v="430.34571793331889"/>
    <n v="174.29557455563423"/>
    <n v="0"/>
    <n v="800.71116000000086"/>
    <n v="0"/>
    <n v="405.12253067595026"/>
    <x v="2"/>
  </r>
  <r>
    <s v="Regular"/>
    <x v="3"/>
    <x v="2"/>
    <x v="3"/>
    <x v="8"/>
    <x v="2"/>
    <x v="0"/>
    <x v="1"/>
    <x v="0"/>
    <n v="0"/>
    <n v="0"/>
    <n v="17.684000000000001"/>
    <n v="16.622959999999999"/>
    <n v="17.684000000000001"/>
    <n v="16.622959999999999"/>
    <n v="5"/>
    <s v="CATIVO"/>
    <n v="0"/>
    <n v="0"/>
    <n v="26"/>
    <n v="81"/>
    <n v="0"/>
    <n v="367.75"/>
    <n v="267.91000000000003"/>
    <m/>
    <n v="457.81459354608398"/>
    <n v="185.42082399535556"/>
    <n v="0"/>
    <n v="674.46068640000135"/>
    <n v="0"/>
    <n v="682.49850742817034"/>
    <x v="5"/>
  </r>
  <r>
    <s v="Regular"/>
    <x v="3"/>
    <x v="2"/>
    <x v="3"/>
    <x v="8"/>
    <x v="2"/>
    <x v="0"/>
    <x v="1"/>
    <x v="1"/>
    <n v="0"/>
    <n v="0"/>
    <n v="15.346"/>
    <n v="14.425239999999999"/>
    <n v="15.346"/>
    <n v="14.425239999999999"/>
    <n v="5"/>
    <s v="CATIVO"/>
    <n v="0"/>
    <n v="0"/>
    <n v="26"/>
    <n v="81"/>
    <n v="0"/>
    <n v="367.75"/>
    <n v="267.91000000000003"/>
    <m/>
    <n v="457.81459354608398"/>
    <n v="185.42082399535556"/>
    <n v="0"/>
    <n v="585.29030160000093"/>
    <n v="0"/>
    <n v="592.26544305545667"/>
    <x v="5"/>
  </r>
  <r>
    <s v="Regular"/>
    <x v="3"/>
    <x v="2"/>
    <x v="3"/>
    <x v="8"/>
    <x v="2"/>
    <x v="0"/>
    <x v="1"/>
    <x v="2"/>
    <n v="0"/>
    <n v="0"/>
    <n v="14.811"/>
    <n v="13.92234"/>
    <n v="14.811"/>
    <n v="13.92234"/>
    <n v="5"/>
    <s v="CATIVO"/>
    <n v="0"/>
    <n v="0"/>
    <n v="26"/>
    <n v="81"/>
    <n v="0"/>
    <n v="367.75"/>
    <n v="267.91000000000003"/>
    <m/>
    <n v="457.81459354608398"/>
    <n v="185.42082399535556"/>
    <n v="0"/>
    <n v="564.88561559999994"/>
    <n v="0"/>
    <n v="571.61758615237557"/>
    <x v="5"/>
  </r>
  <r>
    <s v="Regular"/>
    <x v="3"/>
    <x v="2"/>
    <x v="3"/>
    <x v="8"/>
    <x v="2"/>
    <x v="0"/>
    <x v="1"/>
    <x v="3"/>
    <n v="0"/>
    <n v="0"/>
    <n v="16.407"/>
    <n v="15.42258"/>
    <n v="16.407"/>
    <n v="15.42258"/>
    <n v="5"/>
    <s v="CATIVO"/>
    <n v="0"/>
    <n v="0"/>
    <n v="26"/>
    <n v="81"/>
    <n v="0"/>
    <n v="367.75"/>
    <n v="267.91000000000003"/>
    <m/>
    <n v="457.81459354608398"/>
    <n v="185.42082399535556"/>
    <n v="0"/>
    <n v="625.75641719999999"/>
    <n v="0"/>
    <n v="633.21380973614396"/>
    <x v="5"/>
  </r>
  <r>
    <s v="Regular"/>
    <x v="3"/>
    <x v="2"/>
    <x v="3"/>
    <x v="8"/>
    <x v="2"/>
    <x v="0"/>
    <x v="1"/>
    <x v="4"/>
    <n v="0"/>
    <n v="0"/>
    <n v="16.094000000000001"/>
    <n v="15.128360000000001"/>
    <n v="16.094000000000001"/>
    <n v="15.128360000000001"/>
    <n v="5"/>
    <s v="CATIVO"/>
    <n v="0"/>
    <n v="0"/>
    <n v="26"/>
    <n v="81"/>
    <n v="0"/>
    <n v="367.75"/>
    <n v="267.91000000000003"/>
    <m/>
    <n v="457.81459354608398"/>
    <n v="185.42082399535556"/>
    <n v="0"/>
    <n v="613.8187224000003"/>
    <n v="0"/>
    <n v="621.13384859471603"/>
    <x v="5"/>
  </r>
  <r>
    <s v="Regular"/>
    <x v="3"/>
    <x v="2"/>
    <x v="3"/>
    <x v="8"/>
    <x v="2"/>
    <x v="0"/>
    <x v="1"/>
    <x v="5"/>
    <n v="0"/>
    <n v="0"/>
    <n v="17.323"/>
    <n v="16.283619999999999"/>
    <n v="17.323"/>
    <n v="16.283619999999999"/>
    <n v="5"/>
    <s v="CATIVO"/>
    <n v="0"/>
    <n v="0"/>
    <n v="26"/>
    <n v="81"/>
    <n v="0"/>
    <n v="367.75"/>
    <n v="267.91000000000003"/>
    <m/>
    <n v="457.81459354608398"/>
    <n v="185.42082399535556"/>
    <n v="0"/>
    <n v="660.69229080000082"/>
    <n v="0"/>
    <n v="668.56602828422228"/>
    <x v="5"/>
  </r>
  <r>
    <s v="Regular"/>
    <x v="3"/>
    <x v="2"/>
    <x v="3"/>
    <x v="8"/>
    <x v="2"/>
    <x v="0"/>
    <x v="1"/>
    <x v="6"/>
    <n v="0"/>
    <n v="0"/>
    <n v="17.771999999999998"/>
    <n v="16.705680000000001"/>
    <n v="17.771999999999998"/>
    <n v="16.705680000000001"/>
    <n v="5"/>
    <s v="CATIVO"/>
    <n v="0"/>
    <n v="0"/>
    <n v="26"/>
    <n v="81"/>
    <n v="0"/>
    <n v="367.75"/>
    <n v="267.91000000000003"/>
    <m/>
    <n v="457.81459354608398"/>
    <n v="185.42082399535556"/>
    <n v="0"/>
    <n v="677.81697119999853"/>
    <n v="0"/>
    <n v="685.89479043278618"/>
    <x v="5"/>
  </r>
  <r>
    <s v="Regular"/>
    <x v="3"/>
    <x v="2"/>
    <x v="3"/>
    <x v="8"/>
    <x v="2"/>
    <x v="0"/>
    <x v="1"/>
    <x v="7"/>
    <n v="0"/>
    <n v="0"/>
    <n v="15.797000000000001"/>
    <n v="14.84918"/>
    <n v="15.797000000000001"/>
    <n v="14.84918"/>
    <n v="5"/>
    <s v="CATIVO"/>
    <n v="0"/>
    <n v="0"/>
    <n v="26"/>
    <n v="81"/>
    <n v="0"/>
    <n v="367.75"/>
    <n v="267.91000000000003"/>
    <m/>
    <n v="457.81459354608398"/>
    <n v="185.42082399535556"/>
    <n v="0"/>
    <n v="602.49126120000005"/>
    <n v="0"/>
    <n v="609.67139345412727"/>
    <x v="5"/>
  </r>
  <r>
    <s v="Regular"/>
    <x v="3"/>
    <x v="2"/>
    <x v="3"/>
    <x v="8"/>
    <x v="2"/>
    <x v="0"/>
    <x v="1"/>
    <x v="8"/>
    <n v="0"/>
    <n v="0"/>
    <n v="16.427"/>
    <n v="15.441380000000001"/>
    <n v="16.427"/>
    <n v="15.441380000000001"/>
    <n v="5"/>
    <s v="CATIVO"/>
    <n v="0"/>
    <n v="0"/>
    <n v="26"/>
    <n v="81"/>
    <n v="0"/>
    <n v="367.75"/>
    <n v="267.91000000000003"/>
    <m/>
    <n v="457.81459354608398"/>
    <n v="185.42082399535556"/>
    <n v="0"/>
    <n v="626.51920919999941"/>
    <n v="0"/>
    <n v="633.98569223719301"/>
    <x v="5"/>
  </r>
  <r>
    <s v="Regular"/>
    <x v="3"/>
    <x v="2"/>
    <x v="3"/>
    <x v="8"/>
    <x v="2"/>
    <x v="0"/>
    <x v="1"/>
    <x v="9"/>
    <n v="0"/>
    <n v="0"/>
    <n v="17.219000000000001"/>
    <n v="16.185860000000002"/>
    <n v="17.219000000000001"/>
    <n v="16.185860000000002"/>
    <n v="5"/>
    <s v="CATIVO"/>
    <n v="0"/>
    <n v="0"/>
    <n v="26"/>
    <n v="81"/>
    <n v="0"/>
    <n v="367.75"/>
    <n v="267.91000000000003"/>
    <m/>
    <n v="457.81459354608398"/>
    <n v="185.42082399535556"/>
    <n v="0"/>
    <n v="656.72577239999964"/>
    <n v="0"/>
    <n v="664.5522392787625"/>
    <x v="5"/>
  </r>
  <r>
    <s v="Regular"/>
    <x v="3"/>
    <x v="2"/>
    <x v="3"/>
    <x v="8"/>
    <x v="2"/>
    <x v="0"/>
    <x v="1"/>
    <x v="10"/>
    <n v="0"/>
    <n v="0"/>
    <n v="16.811"/>
    <n v="15.802339999999999"/>
    <n v="16.811"/>
    <n v="15.802339999999999"/>
    <n v="5"/>
    <s v="CATIVO"/>
    <n v="0"/>
    <n v="0"/>
    <n v="26"/>
    <n v="81"/>
    <n v="0"/>
    <n v="367.75"/>
    <n v="267.91000000000003"/>
    <m/>
    <n v="457.81459354608398"/>
    <n v="185.42082399535556"/>
    <n v="0"/>
    <n v="641.16481560000057"/>
    <n v="0"/>
    <n v="648.80583625734891"/>
    <x v="5"/>
  </r>
  <r>
    <s v="Regular"/>
    <x v="3"/>
    <x v="2"/>
    <x v="3"/>
    <x v="8"/>
    <x v="2"/>
    <x v="0"/>
    <x v="1"/>
    <x v="11"/>
    <n v="0"/>
    <n v="0"/>
    <n v="17.783000000000001"/>
    <n v="16.71602"/>
    <n v="17.783000000000001"/>
    <n v="16.71602"/>
    <n v="5"/>
    <s v="CATIVO"/>
    <n v="0"/>
    <n v="0"/>
    <n v="26"/>
    <n v="81"/>
    <n v="0"/>
    <n v="367.75"/>
    <n v="267.91000000000003"/>
    <m/>
    <n v="457.81459354608398"/>
    <n v="185.42082399535556"/>
    <n v="0"/>
    <n v="678.2365068000006"/>
    <n v="0"/>
    <n v="686.3193258083657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1E46A2-8F97-4C36-8806-74CD552B37CF}" name="Efeito Resumo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47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9">
        <item x="1"/>
        <item x="4"/>
        <item x="7"/>
        <item x="0"/>
        <item x="5"/>
        <item x="3"/>
        <item x="2"/>
        <item x="6"/>
        <item t="default"/>
      </items>
    </pivotField>
    <pivotField axis="axisRow" showAll="0">
      <items count="12">
        <item x="1"/>
        <item x="8"/>
        <item x="7"/>
        <item x="9"/>
        <item x="10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1"/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46">
    <i>
      <x/>
    </i>
    <i r="1">
      <x/>
    </i>
    <i r="2">
      <x v="2"/>
    </i>
    <i r="3">
      <x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10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 v="9"/>
    </i>
    <i r="8">
      <x v="10"/>
    </i>
    <i r="8">
      <x v="11"/>
    </i>
    <i r="5">
      <x v="2"/>
    </i>
    <i r="6">
      <x/>
    </i>
    <i r="7">
      <x v="1"/>
    </i>
    <i r="8">
      <x v="10"/>
    </i>
    <i r="8">
      <x v="1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/>
    </i>
    <i r="3">
      <x v="3"/>
    </i>
    <i r="4">
      <x v="5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 v="3"/>
    </i>
    <i r="4">
      <x v="5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80">
    <format dxfId="64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4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4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45">
      <pivotArea type="all" dataOnly="0" outline="0" fieldPosition="0"/>
    </format>
    <format dxfId="644">
      <pivotArea outline="0" collapsedLevelsAreSubtotals="1" fieldPosition="0"/>
    </format>
    <format dxfId="643">
      <pivotArea field="16" type="button" dataOnly="0" labelOnly="1" outline="0" axis="axisRow" fieldPosition="0"/>
    </format>
    <format dxfId="642">
      <pivotArea dataOnly="0" labelOnly="1" fieldPosition="0">
        <references count="1">
          <reference field="16" count="0"/>
        </references>
      </pivotArea>
    </format>
    <format dxfId="64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4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3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38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5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34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1"/>
          </reference>
        </references>
      </pivotArea>
    </format>
    <format dxfId="63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63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3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3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29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28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2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2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5"/>
          </reference>
          <reference field="16" count="1" selected="0">
            <x v="0"/>
          </reference>
        </references>
      </pivotArea>
    </format>
    <format dxfId="62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6"/>
            <x v="7"/>
            <x v="8"/>
            <x v="9"/>
            <x v="10"/>
          </reference>
          <reference field="16" count="1" selected="0">
            <x v="0"/>
          </reference>
        </references>
      </pivotArea>
    </format>
    <format dxfId="62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62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2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61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4"/>
          </reference>
          <reference field="16" count="1" selected="0">
            <x v="0"/>
          </reference>
        </references>
      </pivotArea>
    </format>
    <format dxfId="61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61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61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9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8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8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8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7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2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1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0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6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6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6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6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6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48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46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54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5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3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3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3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9"/>
            <x v="10"/>
            <x v="11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51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50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07">
      <pivotArea type="all" dataOnly="0" outline="0" fieldPosition="0"/>
    </format>
    <format dxfId="506">
      <pivotArea outline="0" collapsedLevelsAreSubtotals="1" fieldPosition="0"/>
    </format>
    <format dxfId="505">
      <pivotArea field="16" type="button" dataOnly="0" labelOnly="1" outline="0" axis="axisRow" fieldPosition="0"/>
    </format>
    <format dxfId="504">
      <pivotArea dataOnly="0" labelOnly="1" fieldPosition="0">
        <references count="1">
          <reference field="16" count="0"/>
        </references>
      </pivotArea>
    </format>
    <format dxfId="503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0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1"/>
          </reference>
        </references>
      </pivotArea>
    </format>
    <format dxfId="49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8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8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5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6"/>
            <x v="7"/>
            <x v="8"/>
            <x v="9"/>
            <x v="10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4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47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47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5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5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5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5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5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4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4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4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4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3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3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3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40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40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9"/>
            <x v="10"/>
            <x v="11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7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AC258-1502-44E5-8F4E-DB1A14F8A835}" name="Subsidio Resumo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63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10">
        <item x="1"/>
        <item x="8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5"/>
        <item x="4"/>
        <item x="0"/>
        <item x="1"/>
        <item x="2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62">
    <i>
      <x/>
    </i>
    <i r="1">
      <x v="3"/>
    </i>
    <i r="2">
      <x v="1"/>
    </i>
    <i r="3">
      <x v="3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2"/>
    </i>
    <i r="3">
      <x v="2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 v="10"/>
    </i>
    <i r="8">
      <x v="11"/>
    </i>
    <i>
      <x v="4"/>
    </i>
    <i r="1">
      <x/>
    </i>
    <i r="2">
      <x v="2"/>
    </i>
    <i r="3">
      <x v="2"/>
    </i>
    <i r="4">
      <x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 v="9"/>
    </i>
    <i r="8">
      <x v="10"/>
    </i>
    <i r="8">
      <x v="11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4"/>
    </i>
    <i r="5">
      <x v="3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20">
    <format dxfId="369">
      <pivotArea outline="0" collapsedLevelsAreSubtotals="1" fieldPosition="0"/>
    </format>
    <format dxfId="36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67">
      <pivotArea type="all" dataOnly="0" outline="0" fieldPosition="0"/>
    </format>
    <format dxfId="366">
      <pivotArea outline="0" collapsedLevelsAreSubtotals="1" fieldPosition="0"/>
    </format>
    <format dxfId="365">
      <pivotArea field="31" type="button" dataOnly="0" labelOnly="1" outline="0" axis="axisRow" fieldPosition="0"/>
    </format>
    <format dxfId="364">
      <pivotArea dataOnly="0" labelOnly="1" fieldPosition="0">
        <references count="1">
          <reference field="31" count="0"/>
        </references>
      </pivotArea>
    </format>
    <format dxfId="36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6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6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6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5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58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57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5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55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31" count="1" selected="0">
            <x v="2"/>
          </reference>
        </references>
      </pivotArea>
    </format>
    <format dxfId="35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35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5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35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5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4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4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4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4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4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4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4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42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4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4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3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3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3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3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3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33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3"/>
          </reference>
          <reference field="31" count="1" selected="0">
            <x v="4"/>
          </reference>
        </references>
      </pivotArea>
    </format>
    <format dxfId="333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33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33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3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2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2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2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2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2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2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2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2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2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2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1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31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31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31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31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1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1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1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10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30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30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30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30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30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30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30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30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30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30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9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9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9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9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29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9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8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8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8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8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8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8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28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8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8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8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7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7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7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7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7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7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6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6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6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6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9"/>
            <x v="10"/>
            <x v="11"/>
          </reference>
          <reference field="31" count="1" selected="0">
            <x v="4"/>
          </reference>
        </references>
      </pivotArea>
    </format>
    <format dxfId="2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6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5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58">
      <pivotArea type="all" dataOnly="0" outline="0" fieldPosition="0"/>
    </format>
    <format dxfId="257">
      <pivotArea outline="0" collapsedLevelsAreSubtotals="1" fieldPosition="0"/>
    </format>
    <format dxfId="256">
      <pivotArea field="31" type="button" dataOnly="0" labelOnly="1" outline="0" axis="axisRow" fieldPosition="0"/>
    </format>
    <format dxfId="255">
      <pivotArea dataOnly="0" labelOnly="1" fieldPosition="0">
        <references count="1">
          <reference field="31" count="0"/>
        </references>
      </pivotArea>
    </format>
    <format dxfId="254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53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52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51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5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49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48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47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46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31" count="1" selected="0">
            <x v="2"/>
          </reference>
        </references>
      </pivotArea>
    </format>
    <format dxfId="24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24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4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24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4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4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3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38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3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3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3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3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3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3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3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3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2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2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2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2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2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3"/>
          </reference>
          <reference field="31" count="1" selected="0">
            <x v="4"/>
          </reference>
        </references>
      </pivotArea>
    </format>
    <format dxfId="22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2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2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2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2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1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1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1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1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1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0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0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0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0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0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0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0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9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9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9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9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9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9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8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8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18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8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8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17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7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6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6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31" count="1" selected="0">
            <x v="3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9"/>
            <x v="10"/>
            <x v="11"/>
          </reference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17E5DB6-66F7-49C6-9BE0-6B6E5A69EBA9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8B4127D-A475-44E7-814A-D3196AE85EF7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8A2E12B-3341-441C-B438-D99C167D2389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9D051-3AF4-4873-95EE-98374958286F}" name="Efeito" displayName="Efeito" ref="A1:AG508" totalsRowShown="0" headerRowDxfId="718" dataDxfId="717">
  <autoFilter ref="A1:AG508" xr:uid="{5A69D051-3AF4-4873-95EE-98374958286F}"/>
  <tableColumns count="33">
    <tableColumn id="1" xr3:uid="{818689BF-B01A-4043-B55F-5143395000F7}" name="TipoMercado" dataDxfId="716"/>
    <tableColumn id="2" xr3:uid="{206FC05D-1029-41D6-BAD7-63592421C378}" name="Subgrupo" dataDxfId="715"/>
    <tableColumn id="3" xr3:uid="{142FDFEC-24F4-48DD-A01E-CC4AF6611B9E}" name="Modalidade" dataDxfId="714"/>
    <tableColumn id="4" xr3:uid="{E40DF763-32E9-4177-9B43-9202E82DBA7C}" name="Classe" dataDxfId="713"/>
    <tableColumn id="5" xr3:uid="{B40CAE00-0CA3-4588-B716-60E291A7615B}" name="Subclasse" dataDxfId="712"/>
    <tableColumn id="6" xr3:uid="{AFAEACDA-B411-4C7E-BC74-6C557D93A39F}" name="Detalhe" dataDxfId="711"/>
    <tableColumn id="7" xr3:uid="{380553B1-1F7A-4749-AFAD-C2A2B5340C23}" name="Agente" dataDxfId="710"/>
    <tableColumn id="8" xr3:uid="{AB1D4AD9-40FE-4399-9E77-F9D61F661934}" name="Posto" dataDxfId="709"/>
    <tableColumn id="9" xr3:uid="{B0C605A1-2328-4810-A09C-BC73AED9AC73}" name="AnoMes" dataDxfId="708"/>
    <tableColumn id="10" xr3:uid="{1B28D749-03A4-474E-846F-561C4A6F9C97}" name="D" dataDxfId="707"/>
    <tableColumn id="11" xr3:uid="{2F4CD4FE-44A0-4BFF-896D-DC1CB19FB23F}" name="Daj" dataDxfId="706"/>
    <tableColumn id="12" xr3:uid="{B0FCBA5A-0B69-4E99-9DBA-FD6C6429AF3C}" name="TUSD_E" dataDxfId="705"/>
    <tableColumn id="13" xr3:uid="{18869EA4-EA2C-4385-8A73-1CE3CF6FE1C6}" name="TUSD_Eaj" dataDxfId="704"/>
    <tableColumn id="14" xr3:uid="{30C9ACD1-D9DC-488F-8991-1C52C787FEDB}" name="TE_E" dataDxfId="703"/>
    <tableColumn id="15" xr3:uid="{613CAFD0-EE21-4454-BFE3-CAB65D86FE87}" name="TE_Eaj" dataDxfId="702"/>
    <tableColumn id="16" xr3:uid="{6C02F86E-1CC3-4FE0-86DC-F0859C3E1331}" name="UC" dataDxfId="701"/>
    <tableColumn id="17" xr3:uid="{5AEEB9B0-7B46-4695-9B18-E47F5292B32E}" name="OPÇÃO" dataDxfId="700"/>
    <tableColumn id="18" xr3:uid="{F763BA69-409F-4135-AC60-4138AE1BFC8A}" name="CóD. AUX." dataDxfId="699"/>
    <tableColumn id="19" xr3:uid="{873B4C31-7951-4CDD-865B-771F67C1798B}" name="CóD. AUX. TUSD R$/kW" dataDxfId="698"/>
    <tableColumn id="20" xr3:uid="{C2E0290A-10E0-4EB3-A144-AC253D279F82}" name="CóD. AUX. TUSD R$/MWh" dataDxfId="697"/>
    <tableColumn id="21" xr3:uid="{2F5D6DEF-2D9F-4098-8ED6-3BE634341D2B}" name="CóD. AUX. TE R$/MWh" dataDxfId="696"/>
    <tableColumn id="22" xr3:uid="{6A0AB004-7725-4438-A356-340DBD318394}" name="TUSD (R$/kW)" dataDxfId="695"/>
    <tableColumn id="23" xr3:uid="{81CAD1A7-03BE-4FF6-A6D0-506848544669}" name="TUSD (R$/MWh)" dataDxfId="694"/>
    <tableColumn id="24" xr3:uid="{9EF3515B-9322-4CF0-8C61-F61EE2BFBF27}" name="TE (R$/MWh)" dataDxfId="693"/>
    <tableColumn id="25" xr3:uid="{969D0835-98A3-4000-A29B-0D6F0C00019A}" name="TUSD (R$/kW) NOVA" dataDxfId="692"/>
    <tableColumn id="26" xr3:uid="{23B23BE0-7262-4081-9DD3-0C8B84A156EB}" name="TUSD (R$/MWh) NOVA" dataDxfId="691">
      <calculatedColumnFormula>('TUSD BE'!$AM$51+'TUSD BF'!$AM$51+'TUSD CVA'!$AM$51)*1</calculatedColumnFormula>
    </tableColumn>
    <tableColumn id="27" xr3:uid="{31920D56-AB32-48F1-A7F6-BDCE6D9F2EFF}" name="TE (R$/MWh) NOVA" dataDxfId="690">
      <calculatedColumnFormula>('TE BE'!$AB$41+'TE BF'!$AB$41+'TE CVA'!$AB$41)*1</calculatedColumnFormula>
    </tableColumn>
    <tableColumn id="28" xr3:uid="{128246D3-FAC3-44EA-9F31-10D9C077EAB5}" name="RA0 ou RV - TUSD (kW)" dataDxfId="689"/>
    <tableColumn id="29" xr3:uid="{513932A1-CBA5-4486-8F14-1BCFF08D4506}" name="RA0 ou RV - TUSD (MWh)" dataDxfId="688"/>
    <tableColumn id="30" xr3:uid="{F602A6BA-0B7E-4D85-BD4B-7A7B9AAACB9C}" name="RA0 ou RV - TE (MWh)" dataDxfId="687"/>
    <tableColumn id="31" xr3:uid="{1A664374-5158-4019-B788-62F43288E41B}" name="RA1 ou RRD - TUSD (kW)" dataDxfId="686"/>
    <tableColumn id="32" xr3:uid="{B9F96CDE-1D32-4546-9F78-EC09A21460F1}" name="RA1 ou RRD - TUSD (MWh)" dataDxfId="685"/>
    <tableColumn id="33" xr3:uid="{5B7CFC17-267C-4E76-8471-01CE3BB758D3}" name="RA1 ou RRD - TE (MWh)" dataDxfId="6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C4AD5-3E8C-4B25-B2EC-95410FEDBFE2}" name="Subsidio" displayName="Subsidio" ref="A1:AF277" totalsRowShown="0" headerRowDxfId="683" dataDxfId="682">
  <autoFilter ref="A1:AF277" xr:uid="{C2FC4AD5-3E8C-4B25-B2EC-95410FEDBFE2}"/>
  <tableColumns count="32">
    <tableColumn id="1" xr3:uid="{369725A5-BB5C-4E1D-8F72-58EC1E35BC0D}" name="TipoMercado" dataDxfId="681"/>
    <tableColumn id="2" xr3:uid="{4F4A0C4F-F09B-4C27-9FA8-36329FD47A84}" name="Subgrupo" dataDxfId="680"/>
    <tableColumn id="3" xr3:uid="{A503D608-ABE1-4F6C-B047-E17A1D080AB5}" name="Modalidade" dataDxfId="679"/>
    <tableColumn id="4" xr3:uid="{D1D81ED4-D5F1-4653-B175-E5DB7A5B8512}" name="Classe" dataDxfId="678"/>
    <tableColumn id="5" xr3:uid="{70786D34-BE97-41DA-8B55-D346E21945FC}" name="Subclasse" dataDxfId="677"/>
    <tableColumn id="6" xr3:uid="{397BD7D9-D9BF-4E23-AE2D-07B124800034}" name="Detalhe" dataDxfId="676"/>
    <tableColumn id="7" xr3:uid="{B562E6B7-9331-48A2-A649-E1546F04D0A8}" name="Agente" dataDxfId="675"/>
    <tableColumn id="8" xr3:uid="{32E8D414-E191-467D-9549-79B3BAF3844D}" name="Posto" dataDxfId="674"/>
    <tableColumn id="9" xr3:uid="{8586BBF2-4CFD-4990-90FA-D785D2013186}" name="AnoMes" dataDxfId="673"/>
    <tableColumn id="10" xr3:uid="{B832AA38-AB05-4236-9BFE-4F19D7C5A632}" name="D" dataDxfId="672"/>
    <tableColumn id="11" xr3:uid="{12FD66C8-36EB-444C-B806-775764CD09E6}" name="Daj" dataDxfId="671"/>
    <tableColumn id="12" xr3:uid="{28EDD248-75DE-45F7-BEBE-A89D878369AB}" name="TUSD_E" dataDxfId="670"/>
    <tableColumn id="13" xr3:uid="{27CF2729-3A43-4A6F-9D60-640CB925E496}" name="TUSD_Eaj" dataDxfId="669"/>
    <tableColumn id="14" xr3:uid="{A05EDEFC-ED51-4C96-B6FF-962D66C1E2F8}" name="TE_E" dataDxfId="668"/>
    <tableColumn id="15" xr3:uid="{476AB43E-E2BC-44C3-946D-B80C5984DFBE}" name="TE_Eaj" dataDxfId="667"/>
    <tableColumn id="16" xr3:uid="{48682323-4402-4EE9-992F-EC60222903F8}" name="UC" dataDxfId="666"/>
    <tableColumn id="17" xr3:uid="{9BFADD57-78FF-4D48-AD3A-778CBDDC7086}" name="OPÇÃO" dataDxfId="665"/>
    <tableColumn id="18" xr3:uid="{0261F9ED-0826-4108-981D-3F5E7DDE1282}" name="CóD. AUX." dataDxfId="664"/>
    <tableColumn id="19" xr3:uid="{8774C97B-110F-48E0-B391-0771ED409785}" name="CóD. AUX. TUSD R$/kW" dataDxfId="663"/>
    <tableColumn id="20" xr3:uid="{9F8F0663-B22B-4033-AFE6-F25FE86DB573}" name="CóD. AUX. TUSD R$/MWh" dataDxfId="662"/>
    <tableColumn id="21" xr3:uid="{F78706F6-A998-4BD5-87C4-382D27F12ECA}" name="CóD. AUX. TE R$/MWh" dataDxfId="661"/>
    <tableColumn id="22" xr3:uid="{F6C05390-1DAC-4AC5-8F0E-5E26E3B4AB42}" name="TUSD (R$/kW)" dataDxfId="660"/>
    <tableColumn id="23" xr3:uid="{191F5A38-D1E5-41FC-889A-B883DDF3C64D}" name="TUSD (R$/MWh)" dataDxfId="659"/>
    <tableColumn id="24" xr3:uid="{BD2F0955-2E0B-4CD2-B7A8-550A19C24431}" name="TE (R$/MWh)" dataDxfId="658"/>
    <tableColumn id="25" xr3:uid="{B9600582-1EDB-415A-A536-E8676DAAC113}" name="TUSD (R$/kW) NOVA" dataDxfId="657"/>
    <tableColumn id="26" xr3:uid="{CEFC0B0E-6D09-432E-8B02-C3927AF0EC44}" name="TUSD (R$/MWh) NOVA" dataDxfId="656">
      <calculatedColumnFormula>('TUSD BE'!$AM$48+'TUSD BF'!$AM$48+'TUSD CVA'!$AM$48)*1</calculatedColumnFormula>
    </tableColumn>
    <tableColumn id="27" xr3:uid="{1DA58F1A-DBF8-4FB4-AC3F-F2E94BD6A035}" name="TE (R$/MWh) NOVA" dataDxfId="655">
      <calculatedColumnFormula>('TE BE'!$AB$38+'TE BF'!$AB$38+'TE CVA'!$AB$38)*1</calculatedColumnFormula>
    </tableColumn>
    <tableColumn id="28" xr3:uid="{3E2EBC6E-9DF8-4A21-8607-7FB57CCDF2F0}" name="SUBSIDIO kW - TV" dataDxfId="654">
      <calculatedColumnFormula>(J2-K2)*V2</calculatedColumnFormula>
    </tableColumn>
    <tableColumn id="29" xr3:uid="{7C8E81B7-AC71-4EA8-96DD-6699289A4791}" name="SUBSIDIO MWh - TV" dataDxfId="653">
      <calculatedColumnFormula>(L2-M2)*W2+(N2-O2)*X2</calculatedColumnFormula>
    </tableColumn>
    <tableColumn id="30" xr3:uid="{0F1BD931-14AD-436F-BC33-FEC358C4485C}" name="SUBSIDIO kW - TN" dataDxfId="652">
      <calculatedColumnFormula>(J2-K2)*Y2</calculatedColumnFormula>
    </tableColumn>
    <tableColumn id="31" xr3:uid="{407BF99D-6A36-4D9C-9C58-009D149CB2C2}" name="SUBSIDIO MWh - TN" dataDxfId="651">
      <calculatedColumnFormula>(L2-M2)*Z2+(N2-O2)*AA2</calculatedColumnFormula>
    </tableColumn>
    <tableColumn id="32" xr3:uid="{0F50EA56-864A-4575-94DC-222B7189C108}" name="TIPO" dataDxfId="6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244CE6-7B5C-41B8-ACF4-DAA85CE6A5F0}" name="TabelaFin" displayName="TabelaFin" ref="B3:AT49" tableType="queryTable" totalsRowShown="0" headerRowDxfId="149" dataDxfId="147" headerRowBorderDxfId="148" tableBorderDxfId="146" totalsRowBorderDxfId="145">
  <autoFilter ref="B3:AT49" xr:uid="{DF244CE6-7B5C-41B8-ACF4-DAA85CE6A5F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664E9345-CBA1-47EF-AF93-FA4C9672FB63}" uniqueName="46" name="SUBGRUPO" queryTableFieldId="1" dataDxfId="144"/>
    <tableColumn id="47" xr3:uid="{50D1C43E-976E-4294-8DDC-FA5618B9FB7F}" uniqueName="47" name="MODALIDADE" queryTableFieldId="2" dataDxfId="143"/>
    <tableColumn id="48" xr3:uid="{91E4E6D0-6222-447A-90EC-2A8F551CEFCC}" uniqueName="48" name="CLASSE" queryTableFieldId="3" dataDxfId="142"/>
    <tableColumn id="49" xr3:uid="{87184C6D-12BB-4976-9167-BB1C0CDC83A7}" uniqueName="49" name="SUBCLASSE" queryTableFieldId="4" dataDxfId="141"/>
    <tableColumn id="50" xr3:uid="{ABC7C032-284C-4596-8DFD-18B3D5224991}" uniqueName="50" name="DETALHE" queryTableFieldId="5" dataDxfId="140"/>
    <tableColumn id="51" xr3:uid="{F5AC6102-A892-4E9F-B101-23663921BB95}" uniqueName="51" name="POSTO" queryTableFieldId="6" dataDxfId="139"/>
    <tableColumn id="52" xr3:uid="{2691998F-C327-4C36-9BCD-0CE02D0B76F7}" uniqueName="52" name="UNIDADE" queryTableFieldId="7" dataDxfId="138"/>
    <tableColumn id="53" xr3:uid="{788A7B69-B955-4E24-B52B-8DDA547A2DAA}" uniqueName="53" name="ACESSANTE" queryTableFieldId="8" dataDxfId="137"/>
    <tableColumn id="54" xr3:uid="{D4661181-C13E-4EAF-84D0-6266B9F98FEA}" uniqueName="54" name="Total TUSD" queryTableFieldId="9" dataDxfId="136"/>
    <tableColumn id="55" xr3:uid="{86189A77-068E-47C2-801B-9A8F4718BFDD}" uniqueName="55" name="Total TE" queryTableFieldId="10" dataDxfId="135"/>
    <tableColumn id="56" xr3:uid="{3D3D7E6C-CE1A-49A6-97B0-09254F5CE059}" uniqueName="56" name="TUSD_CDE_COVID" queryTableFieldId="11" dataDxfId="134"/>
    <tableColumn id="57" xr3:uid="{B4079960-926B-43B4-BEF7-6A8DEFCA3902}" uniqueName="57" name="TUSD_TFSEE" queryTableFieldId="12" dataDxfId="133"/>
    <tableColumn id="58" xr3:uid="{49B2438F-014C-46DE-886A-8687E2FDCBFE}" uniqueName="58" name="TUSD_PeD" queryTableFieldId="13" dataDxfId="132"/>
    <tableColumn id="59" xr3:uid="{861F0991-D198-4476-8422-1E5A367A4138}" uniqueName="59" name="TUSD_ONS" queryTableFieldId="14" dataDxfId="131"/>
    <tableColumn id="60" xr3:uid="{DB911197-A383-4C4B-867F-B1249E91C035}" uniqueName="60" name="TUSD_CCC" queryTableFieldId="15" dataDxfId="130"/>
    <tableColumn id="61" xr3:uid="{245D2B0C-6C1B-4CE7-9656-48D32E3B6649}" uniqueName="61" name="TUSD_CDE" queryTableFieldId="16" dataDxfId="129"/>
    <tableColumn id="62" xr3:uid="{DDCC3864-8A4F-4948-856F-AE10F5A27770}" uniqueName="62" name="TUSD_PROINFA" queryTableFieldId="17" dataDxfId="128"/>
    <tableColumn id="63" xr3:uid="{3C623512-8A54-4841-B728-77D2974ECDD2}" uniqueName="63" name="Liminar1" queryTableFieldId="18" dataDxfId="127"/>
    <tableColumn id="64" xr3:uid="{7C38E2CF-753C-49DD-AC58-F4E8257E6665}" uniqueName="64" name="TUSD_RB" queryTableFieldId="19" dataDxfId="126"/>
    <tableColumn id="65" xr3:uid="{1C99CC87-BA6E-4EE4-AA31-F8535DC8D1F3}" uniqueName="65" name="TUSD_FR" queryTableFieldId="20" dataDxfId="125"/>
    <tableColumn id="66" xr3:uid="{66AC849C-394A-4F6C-903E-472A04848831}" uniqueName="66" name="TUSD_CCT" queryTableFieldId="21" dataDxfId="124"/>
    <tableColumn id="67" xr3:uid="{350FB81F-E21A-43CE-8042-BF3635503FC3}" uniqueName="67" name="TUSD_CCD" queryTableFieldId="22" dataDxfId="123"/>
    <tableColumn id="68" xr3:uid="{6FABEBC2-7957-4E43-85D0-AD576C2824E2}" uniqueName="68" name="TUSD_CUSD" queryTableFieldId="23" dataDxfId="122"/>
    <tableColumn id="69" xr3:uid="{229B4CFE-3FE1-4B3C-BEEE-A6231558FACF}" uniqueName="69" name="TUSDG_T" queryTableFieldId="24" dataDxfId="121"/>
    <tableColumn id="70" xr3:uid="{5FE0534B-A59A-4B90-B735-17A8EB2C021C}" uniqueName="70" name="TUSDG_ONS" queryTableFieldId="25" dataDxfId="120"/>
    <tableColumn id="71" xr3:uid="{00EF8973-DCCA-43F4-8370-F3AE904C4138}" uniqueName="71" name="TUSD_FioB" queryTableFieldId="26" dataDxfId="119"/>
    <tableColumn id="72" xr3:uid="{B7966D87-8419-44EF-88B8-D5A6833BFC7D}" uniqueName="72" name="TUSD Subsidio" queryTableFieldId="27" dataDxfId="118"/>
    <tableColumn id="73" xr3:uid="{120CC2D0-704F-4548-B315-0F57E3D790EF}" uniqueName="73" name="TUSD BENEFICIO_L14299" queryTableFieldId="28" dataDxfId="117"/>
    <tableColumn id="74" xr3:uid="{BE3329C6-D7AF-4BB4-AC99-A5587169A9C6}" uniqueName="74" name="TUSD Outros" queryTableFieldId="29" dataDxfId="116"/>
    <tableColumn id="75" xr3:uid="{A23A6B7E-BA7D-463D-B23E-A4167E9F9E7F}" uniqueName="75" name="TUSD_PT" queryTableFieldId="30" dataDxfId="115"/>
    <tableColumn id="76" xr3:uid="{692A000A-1F5D-4699-987D-B2DDF4845DC9}" uniqueName="76" name="TUSD_Per_RB_D" queryTableFieldId="31" dataDxfId="114"/>
    <tableColumn id="77" xr3:uid="{4BDA8AE8-BE4B-4271-9CA2-9F2E78D09F28}" uniqueName="77" name="TUSD_PNT" queryTableFieldId="32" dataDxfId="113"/>
    <tableColumn id="78" xr3:uid="{26B2C180-5E09-4F62-9DF7-D71D38230205}" uniqueName="78" name="TUSD_RI" queryTableFieldId="33" dataDxfId="112"/>
    <tableColumn id="79" xr3:uid="{BE14F346-2EB0-4F5C-992D-E2D470FD94A4}" uniqueName="79" name="TE_CDE_COVID" queryTableFieldId="34" dataDxfId="111"/>
    <tableColumn id="80" xr3:uid="{F9B788FB-11A5-479E-8020-201F1F1FB12F}" uniqueName="80" name="TE_CDE_ELET" queryTableFieldId="35" dataDxfId="110"/>
    <tableColumn id="81" xr3:uid="{9B6364F8-DBD0-481E-AEB6-2FD695F565F1}" uniqueName="81" name="TE_PeD" queryTableFieldId="36" dataDxfId="109"/>
    <tableColumn id="82" xr3:uid="{162822F2-9AE7-4524-9BB4-2C01F1E27A69}" uniqueName="82" name="TE_ESSERR" queryTableFieldId="37" dataDxfId="108"/>
    <tableColumn id="83" xr3:uid="{2DE435BA-3510-4064-9F19-F812C52B0A82}" uniqueName="83" name="TE_CFURH" queryTableFieldId="38" dataDxfId="107"/>
    <tableColumn id="84" xr3:uid="{58726EA3-8300-4228-AD14-3C55236A0D77}" uniqueName="84" name="TE_ENERGIA" queryTableFieldId="39" dataDxfId="106"/>
    <tableColumn id="85" xr3:uid="{29A10CE5-B009-46AE-A8B3-6B1D3DFDCCED}" uniqueName="85" name="TE_TRANSPORTE_ITAIPU" queryTableFieldId="40" dataDxfId="105"/>
    <tableColumn id="86" xr3:uid="{D6DD6109-D805-4DFF-BC8E-F743ADC6CF47}" uniqueName="86" name="TE_TUST_ITAIPU" queryTableFieldId="41" dataDxfId="104"/>
    <tableColumn id="87" xr3:uid="{E0802A08-3421-4D78-9F23-5F2E7CB75BB5}" uniqueName="87" name="TE_TUST_CI" queryTableFieldId="42" dataDxfId="103"/>
    <tableColumn id="88" xr3:uid="{3B4DC9B0-442E-46AA-8584-BB7A68821437}" uniqueName="88" name="TE Subsidio" queryTableFieldId="43" dataDxfId="102"/>
    <tableColumn id="89" xr3:uid="{A2361956-75A9-4055-ABB6-C38071F373B1}" uniqueName="89" name="TE BENEFICIO_L14299" queryTableFieldId="44" dataDxfId="101"/>
    <tableColumn id="90" xr3:uid="{D745F43B-A1A5-45FE-849F-E823ACA366F4}" uniqueName="90" name="TE_Per_RB" queryTableFieldId="45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4D6534-0726-47DF-9BEE-750ACB6D355B}" name="TabelaEc" displayName="TabelaEc" ref="B3:AT49" tableType="queryTable" totalsRowShown="0" headerRowDxfId="99" dataDxfId="97" headerRowBorderDxfId="98" tableBorderDxfId="96" totalsRowBorderDxfId="95">
  <autoFilter ref="B3:AT49" xr:uid="{AB4D6534-0726-47DF-9BEE-750ACB6D355B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9C088DB7-0D66-45A2-AC59-2D72BA30C134}" uniqueName="46" name="SUBGRUPO" queryTableFieldId="1" dataDxfId="94"/>
    <tableColumn id="47" xr3:uid="{44925F1F-92E8-4A7B-8BF8-CB3FCF8B0CDB}" uniqueName="47" name="MODALIDADE" queryTableFieldId="2" dataDxfId="93"/>
    <tableColumn id="48" xr3:uid="{48AEEBC0-491C-4DE0-ADD1-6EF52129460C}" uniqueName="48" name="CLASSE" queryTableFieldId="3" dataDxfId="92"/>
    <tableColumn id="49" xr3:uid="{EEEFCB15-30C5-4365-A899-FEF0329A718E}" uniqueName="49" name="SUBCLASSE" queryTableFieldId="4" dataDxfId="91"/>
    <tableColumn id="50" xr3:uid="{3BB7E02A-4C64-497B-AB9F-85421500F603}" uniqueName="50" name="DETALHE" queryTableFieldId="5" dataDxfId="90"/>
    <tableColumn id="51" xr3:uid="{6A4306AB-CC80-4195-88E7-2ED3C577F085}" uniqueName="51" name="POSTO" queryTableFieldId="6" dataDxfId="89"/>
    <tableColumn id="52" xr3:uid="{70C06311-DF1E-4D37-A41B-32E15B9B0BFC}" uniqueName="52" name="UNIDADE" queryTableFieldId="7" dataDxfId="88"/>
    <tableColumn id="53" xr3:uid="{7337096D-6269-4FB8-93AA-939FE4FE15A7}" uniqueName="53" name="ACESSANTE" queryTableFieldId="8" dataDxfId="87"/>
    <tableColumn id="54" xr3:uid="{94213ADD-0B81-43D5-9736-DA1D2FFDF777}" uniqueName="54" name="Total TUSD" queryTableFieldId="9" dataDxfId="86"/>
    <tableColumn id="55" xr3:uid="{DACF28E2-7268-44C5-A1E1-8983F4DB7C50}" uniqueName="55" name="Total TE" queryTableFieldId="10" dataDxfId="85"/>
    <tableColumn id="56" xr3:uid="{67D46818-9EBF-46BE-8272-83DF93C1C563}" uniqueName="56" name="TUSD_CDE_COVID" queryTableFieldId="11" dataDxfId="84"/>
    <tableColumn id="57" xr3:uid="{EAFD758E-1F4C-4627-9BEA-DB5543617A6C}" uniqueName="57" name="TUSD_TFSEE" queryTableFieldId="12" dataDxfId="83"/>
    <tableColumn id="58" xr3:uid="{A32C7197-7FF8-46AF-B358-59457E109DFB}" uniqueName="58" name="TUSD_PeD" queryTableFieldId="13" dataDxfId="82"/>
    <tableColumn id="59" xr3:uid="{0D7A1EA5-F529-4FA4-87B4-C42F84CAFF66}" uniqueName="59" name="TUSD_ONS" queryTableFieldId="14" dataDxfId="81"/>
    <tableColumn id="60" xr3:uid="{355A0259-295C-460E-8435-8E7C9CB00E46}" uniqueName="60" name="TUSD_CCC" queryTableFieldId="15" dataDxfId="80"/>
    <tableColumn id="61" xr3:uid="{CFC3376A-AE39-4B59-B041-C071984B748C}" uniqueName="61" name="TUSD_CDE" queryTableFieldId="16" dataDxfId="79"/>
    <tableColumn id="62" xr3:uid="{54A9628C-FA22-4AA7-A780-1C5BF6413F2F}" uniqueName="62" name="TUSD_PROINFA" queryTableFieldId="17" dataDxfId="78"/>
    <tableColumn id="63" xr3:uid="{C247F03F-FC97-4BEB-B974-CE0322CD6A2E}" uniqueName="63" name="Liminar1" queryTableFieldId="18" dataDxfId="77"/>
    <tableColumn id="64" xr3:uid="{1CACFA53-F041-4EF1-A1A9-770ABEE40898}" uniqueName="64" name="TUSD_RB" queryTableFieldId="19" dataDxfId="76"/>
    <tableColumn id="65" xr3:uid="{4A91F3E9-F76B-492D-9995-788561634565}" uniqueName="65" name="TUSD_FR" queryTableFieldId="20" dataDxfId="75"/>
    <tableColumn id="66" xr3:uid="{56530552-FA69-432D-99F3-6DB3A73815E9}" uniqueName="66" name="TUSD_CCT" queryTableFieldId="21" dataDxfId="74"/>
    <tableColumn id="67" xr3:uid="{F5C11673-FDC2-4C0D-B37C-3BCF153D23FB}" uniqueName="67" name="TUSD_CCD" queryTableFieldId="22" dataDxfId="73"/>
    <tableColumn id="68" xr3:uid="{C7443A62-0458-4DC8-ACF2-6EB9F07E8667}" uniqueName="68" name="TUSD_CUSD" queryTableFieldId="23" dataDxfId="72"/>
    <tableColumn id="69" xr3:uid="{45B2A723-E33B-4AB3-9F7C-2FD169C45BC5}" uniqueName="69" name="TUSDG_T" queryTableFieldId="24" dataDxfId="71"/>
    <tableColumn id="70" xr3:uid="{B8D7A1E4-2044-47F9-8216-40339415EC8A}" uniqueName="70" name="TUSDG_ONS" queryTableFieldId="25" dataDxfId="70"/>
    <tableColumn id="71" xr3:uid="{945CEA62-608C-4CA3-A960-DEE0555A9544}" uniqueName="71" name="TUSD_FioB" queryTableFieldId="26" dataDxfId="69"/>
    <tableColumn id="72" xr3:uid="{FE6399DF-4086-4F94-BB31-FA8F207CB18C}" uniqueName="72" name="TUSD Subsidio" queryTableFieldId="27" dataDxfId="68"/>
    <tableColumn id="73" xr3:uid="{1C05EB8C-A12B-4DEC-88C6-E21DFF3B69FD}" uniqueName="73" name="TUSD BENEFICIO_L14299" queryTableFieldId="28" dataDxfId="67"/>
    <tableColumn id="74" xr3:uid="{1FAE6899-9989-4897-8CF4-5B80A618DBA1}" uniqueName="74" name="TUSD Outros" queryTableFieldId="29" dataDxfId="66"/>
    <tableColumn id="75" xr3:uid="{C248D55A-D980-4DD8-BDDC-57E3830BEF4D}" uniqueName="75" name="TUSD_PT" queryTableFieldId="30" dataDxfId="65"/>
    <tableColumn id="76" xr3:uid="{7914081D-2B38-4B19-95AA-0D2D34111221}" uniqueName="76" name="TUSD_Per_RB_D" queryTableFieldId="31" dataDxfId="64"/>
    <tableColumn id="77" xr3:uid="{4641E96C-BC75-4FB7-9005-513C5F27EA45}" uniqueName="77" name="TUSD_PNT" queryTableFieldId="32" dataDxfId="63"/>
    <tableColumn id="78" xr3:uid="{8CFA579A-18C1-4D4E-B787-0253DFBC1271}" uniqueName="78" name="TUSD_RI" queryTableFieldId="33" dataDxfId="62"/>
    <tableColumn id="79" xr3:uid="{1DC81D90-2FF7-49AF-8B65-52736955F8B4}" uniqueName="79" name="TE_CDE_COVID" queryTableFieldId="34" dataDxfId="61"/>
    <tableColumn id="80" xr3:uid="{AAD6DB84-B7AC-4A8F-A05B-8A7D009945B8}" uniqueName="80" name="TE_CDE_ELET" queryTableFieldId="35" dataDxfId="60"/>
    <tableColumn id="81" xr3:uid="{C6222ED3-59A7-4B32-BBFE-B57F736AC1E0}" uniqueName="81" name="TE_PeD" queryTableFieldId="36" dataDxfId="59"/>
    <tableColumn id="82" xr3:uid="{0A79A62F-7F13-4138-9045-D2443A0B1D3E}" uniqueName="82" name="TE_ESSERR" queryTableFieldId="37" dataDxfId="58"/>
    <tableColumn id="83" xr3:uid="{AED4FF22-6706-4A24-9F3C-69F2545612AB}" uniqueName="83" name="TE_CFURH" queryTableFieldId="38" dataDxfId="57"/>
    <tableColumn id="84" xr3:uid="{8373A5C1-557A-4009-801E-FC623E907263}" uniqueName="84" name="TE_ENERGIA" queryTableFieldId="39" dataDxfId="56"/>
    <tableColumn id="85" xr3:uid="{596DC61A-89AB-482A-8184-56127AFE0733}" uniqueName="85" name="TE_TRANSPORTE_ITAIPU" queryTableFieldId="40" dataDxfId="55"/>
    <tableColumn id="86" xr3:uid="{87DC8178-FFCA-4D9F-9673-353D02C94F2D}" uniqueName="86" name="TE_TUST_ITAIPU" queryTableFieldId="41" dataDxfId="54"/>
    <tableColumn id="87" xr3:uid="{014CC678-AFD7-4EF9-9116-519906D6D6E7}" uniqueName="87" name="TE_TUST_CI" queryTableFieldId="42" dataDxfId="53"/>
    <tableColumn id="88" xr3:uid="{C7F7B888-81F9-4484-8016-536B3FBC07C2}" uniqueName="88" name="TE Subsidio" queryTableFieldId="43" dataDxfId="52"/>
    <tableColumn id="89" xr3:uid="{47EF7E23-8297-4516-8F81-37D42B929B30}" uniqueName="89" name="TE BENEFICIO_L14299" queryTableFieldId="44" dataDxfId="51"/>
    <tableColumn id="90" xr3:uid="{DD7A1754-EDA9-4623-868F-7F0F17CBA806}" uniqueName="90" name="TE_Per_RB" queryTableFieldId="45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E98BE-C212-426C-A289-F72B5CE55E9A}" name="TabelaCVA" displayName="TabelaCVA" ref="B3:AT49" tableType="queryTable" totalsRowShown="0" headerRowDxfId="49" dataDxfId="47" headerRowBorderDxfId="48" tableBorderDxfId="46" totalsRowBorderDxfId="45">
  <autoFilter ref="B3:AT49" xr:uid="{27EE98BE-C212-426C-A289-F72B5CE55E9A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97A41E09-86C0-4E81-992C-30984758BE08}" uniqueName="46" name="SUBGRUPO" queryTableFieldId="1" dataDxfId="44"/>
    <tableColumn id="47" xr3:uid="{26BB380B-2249-4F51-8163-9C78C2140274}" uniqueName="47" name="MODALIDADE" queryTableFieldId="2" dataDxfId="43"/>
    <tableColumn id="48" xr3:uid="{B058656D-67FB-4BED-BFEF-52441F762E2D}" uniqueName="48" name="CLASSE" queryTableFieldId="3" dataDxfId="42"/>
    <tableColumn id="49" xr3:uid="{B6C2150B-23AC-4391-9DB3-900878AA521E}" uniqueName="49" name="SUBCLASSE" queryTableFieldId="4" dataDxfId="41"/>
    <tableColumn id="50" xr3:uid="{C6F77A16-C0DB-479D-AFAF-2DE7CA69A957}" uniqueName="50" name="DETALHE" queryTableFieldId="5" dataDxfId="40"/>
    <tableColumn id="51" xr3:uid="{203D3F6C-D2BC-41D0-B3A5-3BBC5112CD88}" uniqueName="51" name="POSTO" queryTableFieldId="6" dataDxfId="39"/>
    <tableColumn id="52" xr3:uid="{DAD36CAD-A2B2-44DE-867E-4B62C3F78ACC}" uniqueName="52" name="UNIDADE" queryTableFieldId="7" dataDxfId="38"/>
    <tableColumn id="53" xr3:uid="{EA0A0DE6-497A-48A2-940E-9DE096E9832F}" uniqueName="53" name="ACESSANTE" queryTableFieldId="8" dataDxfId="37"/>
    <tableColumn id="54" xr3:uid="{BB9BB0F6-C975-43A6-8C16-A1DA9C0BE3F6}" uniqueName="54" name="Total TUSD" queryTableFieldId="9" dataDxfId="36"/>
    <tableColumn id="55" xr3:uid="{8DFA21F1-D839-4999-958D-71CF8FF249D9}" uniqueName="55" name="Total TE" queryTableFieldId="10" dataDxfId="35"/>
    <tableColumn id="56" xr3:uid="{455C6F20-2433-4380-B8B4-F4F6F09FFAF4}" uniqueName="56" name="TUSD_CDE_COVID" queryTableFieldId="11" dataDxfId="34"/>
    <tableColumn id="57" xr3:uid="{53877247-146C-4039-8ACC-53FC67BF6731}" uniqueName="57" name="TUSD_TFSEE" queryTableFieldId="12" dataDxfId="33"/>
    <tableColumn id="58" xr3:uid="{5949C735-15CE-44FB-83A9-8A30FBD1ABE3}" uniqueName="58" name="TUSD_PeD" queryTableFieldId="13" dataDxfId="32"/>
    <tableColumn id="59" xr3:uid="{432485E1-A6B5-4661-B310-FE1E828B79B9}" uniqueName="59" name="TUSD_ONS" queryTableFieldId="14" dataDxfId="31"/>
    <tableColumn id="60" xr3:uid="{32ADEB05-3C22-484C-A518-547B00632CEC}" uniqueName="60" name="TUSD_CCC" queryTableFieldId="15" dataDxfId="30"/>
    <tableColumn id="61" xr3:uid="{D1CC4E02-723D-47EE-8A91-49A0DE87080C}" uniqueName="61" name="TUSD_CDE" queryTableFieldId="16" dataDxfId="29"/>
    <tableColumn id="62" xr3:uid="{FBDCAC9E-C6C1-49E5-97A9-BA5BD49802D9}" uniqueName="62" name="TUSD_PROINFA" queryTableFieldId="17" dataDxfId="28"/>
    <tableColumn id="63" xr3:uid="{C8F9C436-4FEB-4A52-91F4-EA88A49EE6A1}" uniqueName="63" name="Liminar1" queryTableFieldId="18" dataDxfId="27"/>
    <tableColumn id="64" xr3:uid="{0D4B5228-25AA-4EEC-A90C-C36A641B1F6A}" uniqueName="64" name="TUSD_RB" queryTableFieldId="19" dataDxfId="26"/>
    <tableColumn id="65" xr3:uid="{12592DB0-0DFA-47E8-890E-5BBEFB42EF36}" uniqueName="65" name="TUSD_FR" queryTableFieldId="20" dataDxfId="25"/>
    <tableColumn id="66" xr3:uid="{1F6C37D7-BD74-4B34-8593-8DA1836DDC56}" uniqueName="66" name="TUSD_CCT" queryTableFieldId="21" dataDxfId="24"/>
    <tableColumn id="67" xr3:uid="{99D65CE1-1149-4194-A6EB-BE55095846FA}" uniqueName="67" name="TUSD_CCD" queryTableFieldId="22" dataDxfId="23"/>
    <tableColumn id="68" xr3:uid="{446318C6-2CB8-4DD9-975C-6C73751503EB}" uniqueName="68" name="TUSD_CUSD" queryTableFieldId="23" dataDxfId="22"/>
    <tableColumn id="69" xr3:uid="{64C6FE37-19A1-4CD7-B3E5-658C230F08E0}" uniqueName="69" name="TUSDG_T" queryTableFieldId="24" dataDxfId="21"/>
    <tableColumn id="70" xr3:uid="{78B5F318-A3AD-4682-B4AD-461CFC0C07B5}" uniqueName="70" name="TUSDG_ONS" queryTableFieldId="25" dataDxfId="20"/>
    <tableColumn id="71" xr3:uid="{01866239-1FA1-4287-BEE2-2694C7EB204E}" uniqueName="71" name="TUSD_FioB" queryTableFieldId="26" dataDxfId="19"/>
    <tableColumn id="72" xr3:uid="{3D97ACE1-82FB-4EC3-A165-F3F9F6B3E710}" uniqueName="72" name="TUSD Subsidio" queryTableFieldId="27" dataDxfId="18"/>
    <tableColumn id="73" xr3:uid="{0230F4CB-6F40-4485-9891-7008B1BD17AB}" uniqueName="73" name="TUSD BENEFICIO_L14299" queryTableFieldId="28" dataDxfId="17"/>
    <tableColumn id="74" xr3:uid="{F7E0CBD8-3CA2-464C-8206-39337B8838FD}" uniqueName="74" name="TUSD Outros" queryTableFieldId="29" dataDxfId="16"/>
    <tableColumn id="75" xr3:uid="{C6E219AD-46C7-48CF-BC29-C116871D3727}" uniqueName="75" name="TUSD_PT" queryTableFieldId="30" dataDxfId="15"/>
    <tableColumn id="76" xr3:uid="{0F3AB54F-234B-453B-8FF5-4921A66F24A9}" uniqueName="76" name="TUSD_Per_RB_D" queryTableFieldId="31" dataDxfId="14"/>
    <tableColumn id="77" xr3:uid="{000D3950-EA25-4795-869B-0C6BCF7BD7BA}" uniqueName="77" name="TUSD_PNT" queryTableFieldId="32" dataDxfId="13"/>
    <tableColumn id="78" xr3:uid="{B9CCBF32-7344-4B32-B8B3-BA4FDA49CE11}" uniqueName="78" name="TUSD_RI" queryTableFieldId="33" dataDxfId="12"/>
    <tableColumn id="79" xr3:uid="{ED8AEC9E-1FEB-4D57-9D37-4CB6C266A283}" uniqueName="79" name="TE_CDE_COVID" queryTableFieldId="34" dataDxfId="11"/>
    <tableColumn id="80" xr3:uid="{8EA41F1F-5F33-454A-AB14-925095938970}" uniqueName="80" name="TE_CDE_ELET" queryTableFieldId="35" dataDxfId="10"/>
    <tableColumn id="81" xr3:uid="{6806D6B8-D3FB-4B91-B180-D0580FF9DAE4}" uniqueName="81" name="TE_PeD" queryTableFieldId="36" dataDxfId="9"/>
    <tableColumn id="82" xr3:uid="{D247CA6E-8A5A-4CD4-99BE-4D26882BBBBF}" uniqueName="82" name="TE_ESSERR" queryTableFieldId="37" dataDxfId="8"/>
    <tableColumn id="83" xr3:uid="{0180BEAE-7681-44DB-88D4-406B04922E7B}" uniqueName="83" name="TE_CFURH" queryTableFieldId="38" dataDxfId="7"/>
    <tableColumn id="84" xr3:uid="{0621CDAE-F09F-480E-B8E2-980DFB8514B8}" uniqueName="84" name="TE_ENERGIA" queryTableFieldId="39" dataDxfId="6"/>
    <tableColumn id="85" xr3:uid="{096F16F1-1AE8-45B1-B43D-B90D1038BB6B}" uniqueName="85" name="TE_TRANSPORTE_ITAIPU" queryTableFieldId="40" dataDxfId="5"/>
    <tableColumn id="86" xr3:uid="{86D39274-D3D6-4F22-8BA5-0326ED4627D0}" uniqueName="86" name="TE_TUST_ITAIPU" queryTableFieldId="41" dataDxfId="4"/>
    <tableColumn id="87" xr3:uid="{667EDC58-F144-4F5C-8D02-36F0B2DDEEE2}" uniqueName="87" name="TE_TUST_CI" queryTableFieldId="42" dataDxfId="3"/>
    <tableColumn id="88" xr3:uid="{32BAAAF6-BB59-4050-A120-A130EA513CA7}" uniqueName="88" name="TE Subsidio" queryTableFieldId="43" dataDxfId="2"/>
    <tableColumn id="89" xr3:uid="{018915B7-E79F-400B-A502-108AC7DB4BC4}" uniqueName="89" name="TE BENEFICIO_L14299" queryTableFieldId="44" dataDxfId="1"/>
    <tableColumn id="90" xr3:uid="{EB420074-EBFC-4DA3-A1BE-B5986ED79541}" uniqueName="90" name="TE_Per_RB" queryTableFieldId="4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EF2F-B71D-4EFE-96BE-5DE283790DC8}">
  <dimension ref="A1:W508"/>
  <sheetViews>
    <sheetView showGridLines="0" topLeftCell="F481" workbookViewId="0">
      <selection activeCell="T509" sqref="T509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1" width="7" style="4" bestFit="1" customWidth="1"/>
    <col min="12" max="12" width="6.7109375" style="4" bestFit="1" customWidth="1"/>
    <col min="13" max="13" width="8" style="4" bestFit="1" customWidth="1"/>
    <col min="14" max="14" width="5.7109375" style="4" bestFit="1" customWidth="1"/>
    <col min="15" max="15" width="5.85546875" style="4" bestFit="1" customWidth="1"/>
    <col min="16" max="16" width="7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92</v>
      </c>
      <c r="T1" s="1" t="s">
        <v>273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54</v>
      </c>
      <c r="D2" s="3" t="s">
        <v>34</v>
      </c>
      <c r="E2" s="3" t="s">
        <v>25</v>
      </c>
      <c r="F2" s="3" t="s">
        <v>55</v>
      </c>
      <c r="G2" s="3" t="s">
        <v>25</v>
      </c>
      <c r="H2" s="3" t="s">
        <v>38</v>
      </c>
      <c r="I2" s="6">
        <v>44440</v>
      </c>
      <c r="J2" s="4">
        <v>87</v>
      </c>
      <c r="K2" s="4">
        <v>43.5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56</v>
      </c>
      <c r="R2" s="3">
        <v>0</v>
      </c>
      <c r="S2" s="3" t="s">
        <v>93</v>
      </c>
      <c r="U2" s="3">
        <v>1</v>
      </c>
      <c r="V2" s="3">
        <v>0</v>
      </c>
      <c r="W2" s="3">
        <v>0</v>
      </c>
    </row>
    <row r="3" spans="1:23" ht="11.25" customHeight="1" x14ac:dyDescent="0.25">
      <c r="A3" s="3" t="s">
        <v>21</v>
      </c>
      <c r="B3" s="3" t="s">
        <v>35</v>
      </c>
      <c r="C3" s="3" t="s">
        <v>54</v>
      </c>
      <c r="D3" s="3" t="s">
        <v>34</v>
      </c>
      <c r="E3" s="3" t="s">
        <v>25</v>
      </c>
      <c r="F3" s="3" t="s">
        <v>55</v>
      </c>
      <c r="G3" s="3" t="s">
        <v>25</v>
      </c>
      <c r="H3" s="3" t="s">
        <v>38</v>
      </c>
      <c r="I3" s="6">
        <v>44470</v>
      </c>
      <c r="J3" s="4">
        <v>87</v>
      </c>
      <c r="K3" s="4">
        <v>43.5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56</v>
      </c>
      <c r="R3" s="3">
        <v>0</v>
      </c>
      <c r="S3" s="3" t="s">
        <v>94</v>
      </c>
      <c r="U3" s="3">
        <v>1</v>
      </c>
      <c r="V3" s="3">
        <v>0</v>
      </c>
      <c r="W3" s="3">
        <v>0</v>
      </c>
    </row>
    <row r="4" spans="1:23" ht="11.25" customHeight="1" x14ac:dyDescent="0.25">
      <c r="A4" s="3" t="s">
        <v>21</v>
      </c>
      <c r="B4" s="3" t="s">
        <v>35</v>
      </c>
      <c r="C4" s="3" t="s">
        <v>54</v>
      </c>
      <c r="D4" s="3" t="s">
        <v>34</v>
      </c>
      <c r="E4" s="3" t="s">
        <v>25</v>
      </c>
      <c r="F4" s="3" t="s">
        <v>55</v>
      </c>
      <c r="G4" s="3" t="s">
        <v>25</v>
      </c>
      <c r="H4" s="3" t="s">
        <v>38</v>
      </c>
      <c r="I4" s="6">
        <v>44501</v>
      </c>
      <c r="J4" s="4">
        <v>89</v>
      </c>
      <c r="K4" s="4">
        <v>44.5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56</v>
      </c>
      <c r="R4" s="3">
        <v>0</v>
      </c>
      <c r="S4" s="3" t="s">
        <v>95</v>
      </c>
      <c r="U4" s="3">
        <v>1</v>
      </c>
      <c r="V4" s="3">
        <v>0</v>
      </c>
      <c r="W4" s="3">
        <v>0</v>
      </c>
    </row>
    <row r="5" spans="1:23" ht="11.25" customHeight="1" x14ac:dyDescent="0.25">
      <c r="A5" s="3" t="s">
        <v>21</v>
      </c>
      <c r="B5" s="3" t="s">
        <v>35</v>
      </c>
      <c r="C5" s="3" t="s">
        <v>54</v>
      </c>
      <c r="D5" s="3" t="s">
        <v>34</v>
      </c>
      <c r="E5" s="3" t="s">
        <v>25</v>
      </c>
      <c r="F5" s="3" t="s">
        <v>55</v>
      </c>
      <c r="G5" s="3" t="s">
        <v>25</v>
      </c>
      <c r="H5" s="3" t="s">
        <v>38</v>
      </c>
      <c r="I5" s="6">
        <v>44531</v>
      </c>
      <c r="J5" s="4">
        <v>89</v>
      </c>
      <c r="K5" s="4">
        <v>44.5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56</v>
      </c>
      <c r="R5" s="3">
        <v>0</v>
      </c>
      <c r="S5" s="3" t="s">
        <v>96</v>
      </c>
      <c r="U5" s="3">
        <v>1</v>
      </c>
      <c r="V5" s="3">
        <v>0</v>
      </c>
      <c r="W5" s="3">
        <v>0</v>
      </c>
    </row>
    <row r="6" spans="1:23" ht="11.25" customHeight="1" x14ac:dyDescent="0.25">
      <c r="A6" s="3" t="s">
        <v>21</v>
      </c>
      <c r="B6" s="3" t="s">
        <v>35</v>
      </c>
      <c r="C6" s="3" t="s">
        <v>54</v>
      </c>
      <c r="D6" s="3" t="s">
        <v>34</v>
      </c>
      <c r="E6" s="3" t="s">
        <v>25</v>
      </c>
      <c r="F6" s="3" t="s">
        <v>55</v>
      </c>
      <c r="G6" s="3" t="s">
        <v>25</v>
      </c>
      <c r="H6" s="3" t="s">
        <v>38</v>
      </c>
      <c r="I6" s="6">
        <v>44562</v>
      </c>
      <c r="J6" s="4">
        <v>87</v>
      </c>
      <c r="K6" s="4">
        <v>43.5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56</v>
      </c>
      <c r="R6" s="3">
        <v>0</v>
      </c>
      <c r="S6" s="3" t="s">
        <v>97</v>
      </c>
      <c r="U6" s="3">
        <v>1</v>
      </c>
      <c r="V6" s="3">
        <v>0</v>
      </c>
      <c r="W6" s="3">
        <v>0</v>
      </c>
    </row>
    <row r="7" spans="1:23" ht="11.25" customHeight="1" x14ac:dyDescent="0.25">
      <c r="A7" s="3" t="s">
        <v>21</v>
      </c>
      <c r="B7" s="3" t="s">
        <v>35</v>
      </c>
      <c r="C7" s="3" t="s">
        <v>54</v>
      </c>
      <c r="D7" s="3" t="s">
        <v>34</v>
      </c>
      <c r="E7" s="3" t="s">
        <v>25</v>
      </c>
      <c r="F7" s="3" t="s">
        <v>55</v>
      </c>
      <c r="G7" s="3" t="s">
        <v>25</v>
      </c>
      <c r="H7" s="3" t="s">
        <v>38</v>
      </c>
      <c r="I7" s="6">
        <v>44593</v>
      </c>
      <c r="J7" s="4">
        <v>91</v>
      </c>
      <c r="K7" s="4">
        <v>45.5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56</v>
      </c>
      <c r="R7" s="3">
        <v>0</v>
      </c>
      <c r="S7" s="3" t="s">
        <v>98</v>
      </c>
      <c r="U7" s="3">
        <v>1</v>
      </c>
      <c r="V7" s="3">
        <v>0</v>
      </c>
      <c r="W7" s="3">
        <v>0</v>
      </c>
    </row>
    <row r="8" spans="1:23" ht="11.25" customHeight="1" x14ac:dyDescent="0.25">
      <c r="A8" s="3" t="s">
        <v>21</v>
      </c>
      <c r="B8" s="3" t="s">
        <v>35</v>
      </c>
      <c r="C8" s="3" t="s">
        <v>54</v>
      </c>
      <c r="D8" s="3" t="s">
        <v>34</v>
      </c>
      <c r="E8" s="3" t="s">
        <v>25</v>
      </c>
      <c r="F8" s="3" t="s">
        <v>55</v>
      </c>
      <c r="G8" s="3" t="s">
        <v>25</v>
      </c>
      <c r="H8" s="3" t="s">
        <v>38</v>
      </c>
      <c r="I8" s="6">
        <v>44621</v>
      </c>
      <c r="J8" s="4">
        <v>91</v>
      </c>
      <c r="K8" s="4">
        <v>45.5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56</v>
      </c>
      <c r="R8" s="3">
        <v>0</v>
      </c>
      <c r="S8" s="3" t="s">
        <v>99</v>
      </c>
      <c r="U8" s="3">
        <v>1</v>
      </c>
      <c r="V8" s="3">
        <v>0</v>
      </c>
      <c r="W8" s="3">
        <v>0</v>
      </c>
    </row>
    <row r="9" spans="1:23" ht="11.25" customHeight="1" x14ac:dyDescent="0.25">
      <c r="A9" s="3" t="s">
        <v>21</v>
      </c>
      <c r="B9" s="3" t="s">
        <v>35</v>
      </c>
      <c r="C9" s="3" t="s">
        <v>54</v>
      </c>
      <c r="D9" s="3" t="s">
        <v>34</v>
      </c>
      <c r="E9" s="3" t="s">
        <v>25</v>
      </c>
      <c r="F9" s="3" t="s">
        <v>55</v>
      </c>
      <c r="G9" s="3" t="s">
        <v>25</v>
      </c>
      <c r="H9" s="3" t="s">
        <v>38</v>
      </c>
      <c r="I9" s="6">
        <v>44652</v>
      </c>
      <c r="J9" s="4">
        <v>92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56</v>
      </c>
      <c r="R9" s="3">
        <v>0</v>
      </c>
      <c r="S9" s="3" t="s">
        <v>100</v>
      </c>
      <c r="U9" s="3">
        <v>1</v>
      </c>
      <c r="V9" s="3">
        <v>0</v>
      </c>
      <c r="W9" s="3">
        <v>0</v>
      </c>
    </row>
    <row r="10" spans="1:23" ht="11.25" customHeight="1" x14ac:dyDescent="0.25">
      <c r="A10" s="3" t="s">
        <v>21</v>
      </c>
      <c r="B10" s="3" t="s">
        <v>35</v>
      </c>
      <c r="C10" s="3" t="s">
        <v>54</v>
      </c>
      <c r="D10" s="3" t="s">
        <v>34</v>
      </c>
      <c r="E10" s="3" t="s">
        <v>25</v>
      </c>
      <c r="F10" s="3" t="s">
        <v>55</v>
      </c>
      <c r="G10" s="3" t="s">
        <v>25</v>
      </c>
      <c r="H10" s="3" t="s">
        <v>38</v>
      </c>
      <c r="I10" s="6">
        <v>44682</v>
      </c>
      <c r="J10" s="4">
        <v>87</v>
      </c>
      <c r="K10" s="4">
        <v>43.5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56</v>
      </c>
      <c r="R10" s="3">
        <v>0</v>
      </c>
      <c r="S10" s="3" t="s">
        <v>101</v>
      </c>
      <c r="U10" s="3">
        <v>1</v>
      </c>
      <c r="V10" s="3">
        <v>0</v>
      </c>
      <c r="W10" s="3">
        <v>0</v>
      </c>
    </row>
    <row r="11" spans="1:23" ht="11.25" customHeight="1" x14ac:dyDescent="0.25">
      <c r="A11" s="3" t="s">
        <v>21</v>
      </c>
      <c r="B11" s="3" t="s">
        <v>35</v>
      </c>
      <c r="C11" s="3" t="s">
        <v>54</v>
      </c>
      <c r="D11" s="3" t="s">
        <v>34</v>
      </c>
      <c r="E11" s="3" t="s">
        <v>25</v>
      </c>
      <c r="F11" s="3" t="s">
        <v>55</v>
      </c>
      <c r="G11" s="3" t="s">
        <v>25</v>
      </c>
      <c r="H11" s="3" t="s">
        <v>38</v>
      </c>
      <c r="I11" s="6">
        <v>44713</v>
      </c>
      <c r="J11" s="4">
        <v>94</v>
      </c>
      <c r="K11" s="4">
        <v>47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56</v>
      </c>
      <c r="R11" s="3">
        <v>0</v>
      </c>
      <c r="S11" s="3" t="s">
        <v>102</v>
      </c>
      <c r="U11" s="3">
        <v>1</v>
      </c>
      <c r="V11" s="3">
        <v>0</v>
      </c>
      <c r="W11" s="3">
        <v>0</v>
      </c>
    </row>
    <row r="12" spans="1:23" ht="11.25" customHeight="1" x14ac:dyDescent="0.25">
      <c r="A12" s="3" t="s">
        <v>21</v>
      </c>
      <c r="B12" s="3" t="s">
        <v>35</v>
      </c>
      <c r="C12" s="3" t="s">
        <v>54</v>
      </c>
      <c r="D12" s="3" t="s">
        <v>34</v>
      </c>
      <c r="E12" s="3" t="s">
        <v>25</v>
      </c>
      <c r="F12" s="3" t="s">
        <v>55</v>
      </c>
      <c r="G12" s="3" t="s">
        <v>25</v>
      </c>
      <c r="H12" s="3" t="s">
        <v>38</v>
      </c>
      <c r="I12" s="6">
        <v>44743</v>
      </c>
      <c r="J12" s="4">
        <v>99</v>
      </c>
      <c r="K12" s="4">
        <v>49.5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56</v>
      </c>
      <c r="R12" s="3">
        <v>0</v>
      </c>
      <c r="S12" s="3" t="s">
        <v>103</v>
      </c>
      <c r="U12" s="3">
        <v>1</v>
      </c>
      <c r="V12" s="3">
        <v>0</v>
      </c>
      <c r="W12" s="3">
        <v>0</v>
      </c>
    </row>
    <row r="13" spans="1:23" ht="11.25" customHeight="1" x14ac:dyDescent="0.25">
      <c r="A13" s="3" t="s">
        <v>21</v>
      </c>
      <c r="B13" s="3" t="s">
        <v>35</v>
      </c>
      <c r="C13" s="3" t="s">
        <v>54</v>
      </c>
      <c r="D13" s="3" t="s">
        <v>34</v>
      </c>
      <c r="E13" s="3" t="s">
        <v>25</v>
      </c>
      <c r="F13" s="3" t="s">
        <v>55</v>
      </c>
      <c r="G13" s="3" t="s">
        <v>25</v>
      </c>
      <c r="H13" s="3" t="s">
        <v>38</v>
      </c>
      <c r="I13" s="6">
        <v>44774</v>
      </c>
      <c r="J13" s="4">
        <v>87</v>
      </c>
      <c r="K13" s="4">
        <v>43.5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56</v>
      </c>
      <c r="R13" s="3">
        <v>0</v>
      </c>
      <c r="S13" s="3" t="s">
        <v>104</v>
      </c>
      <c r="U13" s="3">
        <v>1</v>
      </c>
      <c r="V13" s="3">
        <v>0</v>
      </c>
      <c r="W13" s="3">
        <v>0</v>
      </c>
    </row>
    <row r="14" spans="1:23" ht="11.25" customHeight="1" x14ac:dyDescent="0.25">
      <c r="A14" s="3" t="s">
        <v>21</v>
      </c>
      <c r="B14" s="3" t="s">
        <v>35</v>
      </c>
      <c r="C14" s="3" t="s">
        <v>54</v>
      </c>
      <c r="D14" s="3" t="s">
        <v>34</v>
      </c>
      <c r="E14" s="3" t="s">
        <v>25</v>
      </c>
      <c r="F14" s="3" t="s">
        <v>55</v>
      </c>
      <c r="G14" s="3" t="s">
        <v>25</v>
      </c>
      <c r="H14" s="3" t="s">
        <v>25</v>
      </c>
      <c r="I14" s="6">
        <v>44440</v>
      </c>
      <c r="J14" s="4">
        <v>0</v>
      </c>
      <c r="K14" s="4">
        <v>0</v>
      </c>
      <c r="L14" s="4">
        <v>45.453000000000003</v>
      </c>
      <c r="M14" s="4">
        <v>45.453000000000003</v>
      </c>
      <c r="N14" s="4">
        <v>0</v>
      </c>
      <c r="O14" s="4">
        <v>0</v>
      </c>
      <c r="P14" s="4">
        <v>1</v>
      </c>
      <c r="Q14" s="3" t="s">
        <v>56</v>
      </c>
      <c r="R14" s="3">
        <v>0</v>
      </c>
      <c r="S14" s="3" t="s">
        <v>105</v>
      </c>
      <c r="U14" s="3">
        <v>0</v>
      </c>
      <c r="V14" s="3">
        <v>4</v>
      </c>
      <c r="W14" s="3">
        <v>0</v>
      </c>
    </row>
    <row r="15" spans="1:23" ht="11.25" customHeight="1" x14ac:dyDescent="0.25">
      <c r="A15" s="3" t="s">
        <v>21</v>
      </c>
      <c r="B15" s="3" t="s">
        <v>35</v>
      </c>
      <c r="C15" s="3" t="s">
        <v>54</v>
      </c>
      <c r="D15" s="3" t="s">
        <v>34</v>
      </c>
      <c r="E15" s="3" t="s">
        <v>25</v>
      </c>
      <c r="F15" s="3" t="s">
        <v>55</v>
      </c>
      <c r="G15" s="3" t="s">
        <v>25</v>
      </c>
      <c r="H15" s="3" t="s">
        <v>25</v>
      </c>
      <c r="I15" s="6">
        <v>44470</v>
      </c>
      <c r="J15" s="4">
        <v>0</v>
      </c>
      <c r="K15" s="4">
        <v>0</v>
      </c>
      <c r="L15" s="4">
        <v>46.8</v>
      </c>
      <c r="M15" s="4">
        <v>46.8</v>
      </c>
      <c r="N15" s="4">
        <v>0</v>
      </c>
      <c r="O15" s="4">
        <v>0</v>
      </c>
      <c r="P15" s="4">
        <v>1</v>
      </c>
      <c r="Q15" s="3" t="s">
        <v>56</v>
      </c>
      <c r="R15" s="3">
        <v>0</v>
      </c>
      <c r="S15" s="3" t="s">
        <v>106</v>
      </c>
      <c r="U15" s="3">
        <v>0</v>
      </c>
      <c r="V15" s="3">
        <v>4</v>
      </c>
      <c r="W15" s="3">
        <v>0</v>
      </c>
    </row>
    <row r="16" spans="1:23" ht="11.25" customHeight="1" x14ac:dyDescent="0.25">
      <c r="A16" s="3" t="s">
        <v>21</v>
      </c>
      <c r="B16" s="3" t="s">
        <v>35</v>
      </c>
      <c r="C16" s="3" t="s">
        <v>54</v>
      </c>
      <c r="D16" s="3" t="s">
        <v>34</v>
      </c>
      <c r="E16" s="3" t="s">
        <v>25</v>
      </c>
      <c r="F16" s="3" t="s">
        <v>55</v>
      </c>
      <c r="G16" s="3" t="s">
        <v>25</v>
      </c>
      <c r="H16" s="3" t="s">
        <v>25</v>
      </c>
      <c r="I16" s="6">
        <v>44501</v>
      </c>
      <c r="J16" s="4">
        <v>0</v>
      </c>
      <c r="K16" s="4">
        <v>0</v>
      </c>
      <c r="L16" s="4">
        <v>47.036000000000001</v>
      </c>
      <c r="M16" s="4">
        <v>47.036000000000001</v>
      </c>
      <c r="N16" s="4">
        <v>0</v>
      </c>
      <c r="O16" s="4">
        <v>0</v>
      </c>
      <c r="P16" s="4">
        <v>1</v>
      </c>
      <c r="Q16" s="3" t="s">
        <v>56</v>
      </c>
      <c r="R16" s="3">
        <v>0</v>
      </c>
      <c r="S16" s="3" t="s">
        <v>107</v>
      </c>
      <c r="U16" s="3">
        <v>0</v>
      </c>
      <c r="V16" s="3">
        <v>4</v>
      </c>
      <c r="W16" s="3">
        <v>0</v>
      </c>
    </row>
    <row r="17" spans="1:23" ht="11.25" customHeight="1" x14ac:dyDescent="0.25">
      <c r="A17" s="3" t="s">
        <v>21</v>
      </c>
      <c r="B17" s="3" t="s">
        <v>35</v>
      </c>
      <c r="C17" s="3" t="s">
        <v>54</v>
      </c>
      <c r="D17" s="3" t="s">
        <v>34</v>
      </c>
      <c r="E17" s="3" t="s">
        <v>25</v>
      </c>
      <c r="F17" s="3" t="s">
        <v>55</v>
      </c>
      <c r="G17" s="3" t="s">
        <v>25</v>
      </c>
      <c r="H17" s="3" t="s">
        <v>25</v>
      </c>
      <c r="I17" s="6">
        <v>44531</v>
      </c>
      <c r="J17" s="4">
        <v>0</v>
      </c>
      <c r="K17" s="4">
        <v>0</v>
      </c>
      <c r="L17" s="4">
        <v>48.454999999999998</v>
      </c>
      <c r="M17" s="4">
        <v>48.454999999999998</v>
      </c>
      <c r="N17" s="4">
        <v>0</v>
      </c>
      <c r="O17" s="4">
        <v>0</v>
      </c>
      <c r="P17" s="4">
        <v>1</v>
      </c>
      <c r="Q17" s="3" t="s">
        <v>56</v>
      </c>
      <c r="R17" s="3">
        <v>0</v>
      </c>
      <c r="S17" s="3" t="s">
        <v>108</v>
      </c>
      <c r="U17" s="3">
        <v>0</v>
      </c>
      <c r="V17" s="3">
        <v>4</v>
      </c>
      <c r="W17" s="3">
        <v>0</v>
      </c>
    </row>
    <row r="18" spans="1:23" ht="11.25" customHeight="1" x14ac:dyDescent="0.25">
      <c r="A18" s="3" t="s">
        <v>21</v>
      </c>
      <c r="B18" s="3" t="s">
        <v>35</v>
      </c>
      <c r="C18" s="3" t="s">
        <v>54</v>
      </c>
      <c r="D18" s="3" t="s">
        <v>34</v>
      </c>
      <c r="E18" s="3" t="s">
        <v>25</v>
      </c>
      <c r="F18" s="3" t="s">
        <v>55</v>
      </c>
      <c r="G18" s="3" t="s">
        <v>25</v>
      </c>
      <c r="H18" s="3" t="s">
        <v>25</v>
      </c>
      <c r="I18" s="6">
        <v>44562</v>
      </c>
      <c r="J18" s="4">
        <v>0</v>
      </c>
      <c r="K18" s="4">
        <v>0</v>
      </c>
      <c r="L18" s="4">
        <v>46.819000000000003</v>
      </c>
      <c r="M18" s="4">
        <v>46.819000000000003</v>
      </c>
      <c r="N18" s="4">
        <v>0</v>
      </c>
      <c r="O18" s="4">
        <v>0</v>
      </c>
      <c r="P18" s="4">
        <v>1</v>
      </c>
      <c r="Q18" s="3" t="s">
        <v>56</v>
      </c>
      <c r="R18" s="3">
        <v>0</v>
      </c>
      <c r="S18" s="3" t="s">
        <v>109</v>
      </c>
      <c r="U18" s="3">
        <v>0</v>
      </c>
      <c r="V18" s="3">
        <v>4</v>
      </c>
      <c r="W18" s="3">
        <v>0</v>
      </c>
    </row>
    <row r="19" spans="1:23" ht="11.25" customHeight="1" x14ac:dyDescent="0.25">
      <c r="A19" s="3" t="s">
        <v>21</v>
      </c>
      <c r="B19" s="3" t="s">
        <v>35</v>
      </c>
      <c r="C19" s="3" t="s">
        <v>54</v>
      </c>
      <c r="D19" s="3" t="s">
        <v>34</v>
      </c>
      <c r="E19" s="3" t="s">
        <v>25</v>
      </c>
      <c r="F19" s="3" t="s">
        <v>55</v>
      </c>
      <c r="G19" s="3" t="s">
        <v>25</v>
      </c>
      <c r="H19" s="3" t="s">
        <v>25</v>
      </c>
      <c r="I19" s="6">
        <v>44593</v>
      </c>
      <c r="J19" s="4">
        <v>0</v>
      </c>
      <c r="K19" s="4">
        <v>0</v>
      </c>
      <c r="L19" s="4">
        <v>42.377000000000002</v>
      </c>
      <c r="M19" s="4">
        <v>42.377000000000002</v>
      </c>
      <c r="N19" s="4">
        <v>0</v>
      </c>
      <c r="O19" s="4">
        <v>0</v>
      </c>
      <c r="P19" s="4">
        <v>1</v>
      </c>
      <c r="Q19" s="3" t="s">
        <v>56</v>
      </c>
      <c r="R19" s="3">
        <v>0</v>
      </c>
      <c r="S19" s="3" t="s">
        <v>110</v>
      </c>
      <c r="U19" s="3">
        <v>0</v>
      </c>
      <c r="V19" s="3">
        <v>4</v>
      </c>
      <c r="W19" s="3">
        <v>0</v>
      </c>
    </row>
    <row r="20" spans="1:23" ht="11.25" customHeight="1" x14ac:dyDescent="0.25">
      <c r="A20" s="3" t="s">
        <v>21</v>
      </c>
      <c r="B20" s="3" t="s">
        <v>35</v>
      </c>
      <c r="C20" s="3" t="s">
        <v>54</v>
      </c>
      <c r="D20" s="3" t="s">
        <v>34</v>
      </c>
      <c r="E20" s="3" t="s">
        <v>25</v>
      </c>
      <c r="F20" s="3" t="s">
        <v>55</v>
      </c>
      <c r="G20" s="3" t="s">
        <v>25</v>
      </c>
      <c r="H20" s="3" t="s">
        <v>25</v>
      </c>
      <c r="I20" s="6">
        <v>44621</v>
      </c>
      <c r="J20" s="4">
        <v>0</v>
      </c>
      <c r="K20" s="4">
        <v>0</v>
      </c>
      <c r="L20" s="4">
        <v>49.387</v>
      </c>
      <c r="M20" s="4">
        <v>49.387</v>
      </c>
      <c r="N20" s="4">
        <v>0</v>
      </c>
      <c r="O20" s="4">
        <v>0</v>
      </c>
      <c r="P20" s="4">
        <v>1</v>
      </c>
      <c r="Q20" s="3" t="s">
        <v>56</v>
      </c>
      <c r="R20" s="3">
        <v>0</v>
      </c>
      <c r="S20" s="3" t="s">
        <v>111</v>
      </c>
      <c r="U20" s="3">
        <v>0</v>
      </c>
      <c r="V20" s="3">
        <v>4</v>
      </c>
      <c r="W20" s="3">
        <v>0</v>
      </c>
    </row>
    <row r="21" spans="1:23" ht="11.25" customHeight="1" x14ac:dyDescent="0.25">
      <c r="A21" s="3" t="s">
        <v>21</v>
      </c>
      <c r="B21" s="3" t="s">
        <v>35</v>
      </c>
      <c r="C21" s="3" t="s">
        <v>54</v>
      </c>
      <c r="D21" s="3" t="s">
        <v>34</v>
      </c>
      <c r="E21" s="3" t="s">
        <v>25</v>
      </c>
      <c r="F21" s="3" t="s">
        <v>55</v>
      </c>
      <c r="G21" s="3" t="s">
        <v>25</v>
      </c>
      <c r="H21" s="3" t="s">
        <v>25</v>
      </c>
      <c r="I21" s="6">
        <v>44652</v>
      </c>
      <c r="J21" s="4">
        <v>0</v>
      </c>
      <c r="K21" s="4">
        <v>0</v>
      </c>
      <c r="L21" s="4">
        <v>47.712000000000003</v>
      </c>
      <c r="M21" s="4">
        <v>47.712000000000003</v>
      </c>
      <c r="N21" s="4">
        <v>0</v>
      </c>
      <c r="O21" s="4">
        <v>0</v>
      </c>
      <c r="P21" s="4">
        <v>1</v>
      </c>
      <c r="Q21" s="3" t="s">
        <v>56</v>
      </c>
      <c r="R21" s="3">
        <v>0</v>
      </c>
      <c r="S21" s="3" t="s">
        <v>112</v>
      </c>
      <c r="U21" s="3">
        <v>0</v>
      </c>
      <c r="V21" s="3">
        <v>4</v>
      </c>
      <c r="W21" s="3">
        <v>0</v>
      </c>
    </row>
    <row r="22" spans="1:23" ht="11.25" customHeight="1" x14ac:dyDescent="0.25">
      <c r="A22" s="3" t="s">
        <v>21</v>
      </c>
      <c r="B22" s="3" t="s">
        <v>35</v>
      </c>
      <c r="C22" s="3" t="s">
        <v>54</v>
      </c>
      <c r="D22" s="3" t="s">
        <v>34</v>
      </c>
      <c r="E22" s="3" t="s">
        <v>25</v>
      </c>
      <c r="F22" s="3" t="s">
        <v>55</v>
      </c>
      <c r="G22" s="3" t="s">
        <v>25</v>
      </c>
      <c r="H22" s="3" t="s">
        <v>25</v>
      </c>
      <c r="I22" s="6">
        <v>44682</v>
      </c>
      <c r="J22" s="4">
        <v>0</v>
      </c>
      <c r="K22" s="4">
        <v>0</v>
      </c>
      <c r="L22" s="4">
        <v>47.343000000000004</v>
      </c>
      <c r="M22" s="4">
        <v>47.343000000000004</v>
      </c>
      <c r="N22" s="4">
        <v>0</v>
      </c>
      <c r="O22" s="4">
        <v>0</v>
      </c>
      <c r="P22" s="4">
        <v>1</v>
      </c>
      <c r="Q22" s="3" t="s">
        <v>56</v>
      </c>
      <c r="R22" s="3">
        <v>0</v>
      </c>
      <c r="S22" s="3" t="s">
        <v>113</v>
      </c>
      <c r="U22" s="3">
        <v>0</v>
      </c>
      <c r="V22" s="3">
        <v>4</v>
      </c>
      <c r="W22" s="3">
        <v>0</v>
      </c>
    </row>
    <row r="23" spans="1:23" ht="11.25" customHeight="1" x14ac:dyDescent="0.25">
      <c r="A23" s="3" t="s">
        <v>21</v>
      </c>
      <c r="B23" s="3" t="s">
        <v>35</v>
      </c>
      <c r="C23" s="3" t="s">
        <v>54</v>
      </c>
      <c r="D23" s="3" t="s">
        <v>34</v>
      </c>
      <c r="E23" s="3" t="s">
        <v>25</v>
      </c>
      <c r="F23" s="3" t="s">
        <v>55</v>
      </c>
      <c r="G23" s="3" t="s">
        <v>25</v>
      </c>
      <c r="H23" s="3" t="s">
        <v>25</v>
      </c>
      <c r="I23" s="6">
        <v>44713</v>
      </c>
      <c r="J23" s="4">
        <v>0</v>
      </c>
      <c r="K23" s="4">
        <v>0</v>
      </c>
      <c r="L23" s="4">
        <v>45.942999999999998</v>
      </c>
      <c r="M23" s="4">
        <v>45.942999999999998</v>
      </c>
      <c r="N23" s="4">
        <v>0</v>
      </c>
      <c r="O23" s="4">
        <v>0</v>
      </c>
      <c r="P23" s="4">
        <v>1</v>
      </c>
      <c r="Q23" s="3" t="s">
        <v>56</v>
      </c>
      <c r="R23" s="3">
        <v>0</v>
      </c>
      <c r="S23" s="3" t="s">
        <v>114</v>
      </c>
      <c r="U23" s="3">
        <v>0</v>
      </c>
      <c r="V23" s="3">
        <v>4</v>
      </c>
      <c r="W23" s="3">
        <v>0</v>
      </c>
    </row>
    <row r="24" spans="1:23" ht="11.25" customHeight="1" x14ac:dyDescent="0.25">
      <c r="A24" s="3" t="s">
        <v>21</v>
      </c>
      <c r="B24" s="3" t="s">
        <v>35</v>
      </c>
      <c r="C24" s="3" t="s">
        <v>54</v>
      </c>
      <c r="D24" s="3" t="s">
        <v>34</v>
      </c>
      <c r="E24" s="3" t="s">
        <v>25</v>
      </c>
      <c r="F24" s="3" t="s">
        <v>55</v>
      </c>
      <c r="G24" s="3" t="s">
        <v>25</v>
      </c>
      <c r="H24" s="3" t="s">
        <v>25</v>
      </c>
      <c r="I24" s="6">
        <v>44743</v>
      </c>
      <c r="J24" s="4">
        <v>0</v>
      </c>
      <c r="K24" s="4">
        <v>0</v>
      </c>
      <c r="L24" s="4">
        <v>47.923999999999999</v>
      </c>
      <c r="M24" s="4">
        <v>47.923999999999999</v>
      </c>
      <c r="N24" s="4">
        <v>0</v>
      </c>
      <c r="O24" s="4">
        <v>0</v>
      </c>
      <c r="P24" s="4">
        <v>1</v>
      </c>
      <c r="Q24" s="3" t="s">
        <v>56</v>
      </c>
      <c r="R24" s="3">
        <v>0</v>
      </c>
      <c r="S24" s="3" t="s">
        <v>115</v>
      </c>
      <c r="U24" s="3">
        <v>0</v>
      </c>
      <c r="V24" s="3">
        <v>4</v>
      </c>
      <c r="W24" s="3">
        <v>0</v>
      </c>
    </row>
    <row r="25" spans="1:23" ht="11.25" customHeight="1" x14ac:dyDescent="0.25">
      <c r="A25" s="3" t="s">
        <v>21</v>
      </c>
      <c r="B25" s="3" t="s">
        <v>35</v>
      </c>
      <c r="C25" s="3" t="s">
        <v>54</v>
      </c>
      <c r="D25" s="3" t="s">
        <v>34</v>
      </c>
      <c r="E25" s="3" t="s">
        <v>25</v>
      </c>
      <c r="F25" s="3" t="s">
        <v>55</v>
      </c>
      <c r="G25" s="3" t="s">
        <v>25</v>
      </c>
      <c r="H25" s="3" t="s">
        <v>25</v>
      </c>
      <c r="I25" s="6">
        <v>44774</v>
      </c>
      <c r="J25" s="4">
        <v>0</v>
      </c>
      <c r="K25" s="4">
        <v>0</v>
      </c>
      <c r="L25" s="4">
        <v>47.061</v>
      </c>
      <c r="M25" s="4">
        <v>47.061</v>
      </c>
      <c r="N25" s="4">
        <v>0</v>
      </c>
      <c r="O25" s="4">
        <v>0</v>
      </c>
      <c r="P25" s="4">
        <v>1</v>
      </c>
      <c r="Q25" s="3" t="s">
        <v>56</v>
      </c>
      <c r="R25" s="3">
        <v>0</v>
      </c>
      <c r="S25" s="3" t="s">
        <v>116</v>
      </c>
      <c r="U25" s="3">
        <v>0</v>
      </c>
      <c r="V25" s="3">
        <v>4</v>
      </c>
      <c r="W25" s="3">
        <v>0</v>
      </c>
    </row>
    <row r="26" spans="1:23" ht="11.25" customHeight="1" x14ac:dyDescent="0.25">
      <c r="A26" s="3" t="s">
        <v>21</v>
      </c>
      <c r="B26" s="3" t="s">
        <v>35</v>
      </c>
      <c r="C26" s="3" t="s">
        <v>54</v>
      </c>
      <c r="D26" s="3" t="s">
        <v>34</v>
      </c>
      <c r="E26" s="3" t="s">
        <v>25</v>
      </c>
      <c r="F26" s="3" t="s">
        <v>55</v>
      </c>
      <c r="G26" s="3" t="s">
        <v>25</v>
      </c>
      <c r="H26" s="3" t="s">
        <v>37</v>
      </c>
      <c r="I26" s="6">
        <v>44440</v>
      </c>
      <c r="J26" s="4">
        <v>87</v>
      </c>
      <c r="K26" s="4">
        <v>43.5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56</v>
      </c>
      <c r="R26" s="3">
        <v>0</v>
      </c>
      <c r="S26" s="3" t="s">
        <v>117</v>
      </c>
      <c r="U26" s="3">
        <v>3</v>
      </c>
      <c r="V26" s="3">
        <v>0</v>
      </c>
      <c r="W26" s="3">
        <v>0</v>
      </c>
    </row>
    <row r="27" spans="1:23" ht="11.25" customHeight="1" x14ac:dyDescent="0.25">
      <c r="A27" s="3" t="s">
        <v>21</v>
      </c>
      <c r="B27" s="3" t="s">
        <v>35</v>
      </c>
      <c r="C27" s="3" t="s">
        <v>54</v>
      </c>
      <c r="D27" s="3" t="s">
        <v>34</v>
      </c>
      <c r="E27" s="3" t="s">
        <v>25</v>
      </c>
      <c r="F27" s="3" t="s">
        <v>55</v>
      </c>
      <c r="G27" s="3" t="s">
        <v>25</v>
      </c>
      <c r="H27" s="3" t="s">
        <v>37</v>
      </c>
      <c r="I27" s="6">
        <v>44470</v>
      </c>
      <c r="J27" s="4">
        <v>87</v>
      </c>
      <c r="K27" s="4">
        <v>43.5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56</v>
      </c>
      <c r="R27" s="3">
        <v>0</v>
      </c>
      <c r="S27" s="3" t="s">
        <v>118</v>
      </c>
      <c r="U27" s="3">
        <v>3</v>
      </c>
      <c r="V27" s="3">
        <v>0</v>
      </c>
      <c r="W27" s="3">
        <v>0</v>
      </c>
    </row>
    <row r="28" spans="1:23" ht="11.25" customHeight="1" x14ac:dyDescent="0.25">
      <c r="A28" s="3" t="s">
        <v>21</v>
      </c>
      <c r="B28" s="3" t="s">
        <v>35</v>
      </c>
      <c r="C28" s="3" t="s">
        <v>54</v>
      </c>
      <c r="D28" s="3" t="s">
        <v>34</v>
      </c>
      <c r="E28" s="3" t="s">
        <v>25</v>
      </c>
      <c r="F28" s="3" t="s">
        <v>55</v>
      </c>
      <c r="G28" s="3" t="s">
        <v>25</v>
      </c>
      <c r="H28" s="3" t="s">
        <v>37</v>
      </c>
      <c r="I28" s="6">
        <v>44501</v>
      </c>
      <c r="J28" s="4">
        <v>87</v>
      </c>
      <c r="K28" s="4">
        <v>43.5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56</v>
      </c>
      <c r="R28" s="3">
        <v>0</v>
      </c>
      <c r="S28" s="3" t="s">
        <v>119</v>
      </c>
      <c r="U28" s="3">
        <v>3</v>
      </c>
      <c r="V28" s="3">
        <v>0</v>
      </c>
      <c r="W28" s="3">
        <v>0</v>
      </c>
    </row>
    <row r="29" spans="1:23" ht="11.25" customHeight="1" x14ac:dyDescent="0.25">
      <c r="A29" s="3" t="s">
        <v>21</v>
      </c>
      <c r="B29" s="3" t="s">
        <v>35</v>
      </c>
      <c r="C29" s="3" t="s">
        <v>54</v>
      </c>
      <c r="D29" s="3" t="s">
        <v>34</v>
      </c>
      <c r="E29" s="3" t="s">
        <v>25</v>
      </c>
      <c r="F29" s="3" t="s">
        <v>55</v>
      </c>
      <c r="G29" s="3" t="s">
        <v>25</v>
      </c>
      <c r="H29" s="3" t="s">
        <v>37</v>
      </c>
      <c r="I29" s="6">
        <v>44531</v>
      </c>
      <c r="J29" s="4">
        <v>87</v>
      </c>
      <c r="K29" s="4">
        <v>43.5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56</v>
      </c>
      <c r="R29" s="3">
        <v>0</v>
      </c>
      <c r="S29" s="3" t="s">
        <v>120</v>
      </c>
      <c r="U29" s="3">
        <v>3</v>
      </c>
      <c r="V29" s="3">
        <v>0</v>
      </c>
      <c r="W29" s="3">
        <v>0</v>
      </c>
    </row>
    <row r="30" spans="1:23" ht="11.25" customHeight="1" x14ac:dyDescent="0.25">
      <c r="A30" s="3" t="s">
        <v>21</v>
      </c>
      <c r="B30" s="3" t="s">
        <v>35</v>
      </c>
      <c r="C30" s="3" t="s">
        <v>54</v>
      </c>
      <c r="D30" s="3" t="s">
        <v>34</v>
      </c>
      <c r="E30" s="3" t="s">
        <v>25</v>
      </c>
      <c r="F30" s="3" t="s">
        <v>55</v>
      </c>
      <c r="G30" s="3" t="s">
        <v>25</v>
      </c>
      <c r="H30" s="3" t="s">
        <v>37</v>
      </c>
      <c r="I30" s="6">
        <v>44562</v>
      </c>
      <c r="J30" s="4">
        <v>87</v>
      </c>
      <c r="K30" s="4">
        <v>43.5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56</v>
      </c>
      <c r="R30" s="3">
        <v>0</v>
      </c>
      <c r="S30" s="3" t="s">
        <v>121</v>
      </c>
      <c r="U30" s="3">
        <v>3</v>
      </c>
      <c r="V30" s="3">
        <v>0</v>
      </c>
      <c r="W30" s="3">
        <v>0</v>
      </c>
    </row>
    <row r="31" spans="1:23" ht="11.25" customHeight="1" x14ac:dyDescent="0.25">
      <c r="A31" s="3" t="s">
        <v>21</v>
      </c>
      <c r="B31" s="3" t="s">
        <v>35</v>
      </c>
      <c r="C31" s="3" t="s">
        <v>54</v>
      </c>
      <c r="D31" s="3" t="s">
        <v>34</v>
      </c>
      <c r="E31" s="3" t="s">
        <v>25</v>
      </c>
      <c r="F31" s="3" t="s">
        <v>55</v>
      </c>
      <c r="G31" s="3" t="s">
        <v>25</v>
      </c>
      <c r="H31" s="3" t="s">
        <v>37</v>
      </c>
      <c r="I31" s="6">
        <v>44593</v>
      </c>
      <c r="J31" s="4">
        <v>87</v>
      </c>
      <c r="K31" s="4">
        <v>43.5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56</v>
      </c>
      <c r="R31" s="3">
        <v>0</v>
      </c>
      <c r="S31" s="3" t="s">
        <v>122</v>
      </c>
      <c r="U31" s="3">
        <v>3</v>
      </c>
      <c r="V31" s="3">
        <v>0</v>
      </c>
      <c r="W31" s="3">
        <v>0</v>
      </c>
    </row>
    <row r="32" spans="1:23" ht="11.25" customHeight="1" x14ac:dyDescent="0.25">
      <c r="A32" s="3" t="s">
        <v>21</v>
      </c>
      <c r="B32" s="3" t="s">
        <v>35</v>
      </c>
      <c r="C32" s="3" t="s">
        <v>54</v>
      </c>
      <c r="D32" s="3" t="s">
        <v>34</v>
      </c>
      <c r="E32" s="3" t="s">
        <v>25</v>
      </c>
      <c r="F32" s="3" t="s">
        <v>55</v>
      </c>
      <c r="G32" s="3" t="s">
        <v>25</v>
      </c>
      <c r="H32" s="3" t="s">
        <v>37</v>
      </c>
      <c r="I32" s="6">
        <v>44621</v>
      </c>
      <c r="J32" s="4">
        <v>87</v>
      </c>
      <c r="K32" s="4">
        <v>43.5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56</v>
      </c>
      <c r="R32" s="3">
        <v>0</v>
      </c>
      <c r="S32" s="3" t="s">
        <v>123</v>
      </c>
      <c r="U32" s="3">
        <v>3</v>
      </c>
      <c r="V32" s="3">
        <v>0</v>
      </c>
      <c r="W32" s="3">
        <v>0</v>
      </c>
    </row>
    <row r="33" spans="1:23" ht="11.25" customHeight="1" x14ac:dyDescent="0.25">
      <c r="A33" s="3" t="s">
        <v>21</v>
      </c>
      <c r="B33" s="3" t="s">
        <v>35</v>
      </c>
      <c r="C33" s="3" t="s">
        <v>54</v>
      </c>
      <c r="D33" s="3" t="s">
        <v>34</v>
      </c>
      <c r="E33" s="3" t="s">
        <v>25</v>
      </c>
      <c r="F33" s="3" t="s">
        <v>55</v>
      </c>
      <c r="G33" s="3" t="s">
        <v>25</v>
      </c>
      <c r="H33" s="3" t="s">
        <v>37</v>
      </c>
      <c r="I33" s="6">
        <v>44652</v>
      </c>
      <c r="J33" s="4">
        <v>87</v>
      </c>
      <c r="K33" s="4">
        <v>43.5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56</v>
      </c>
      <c r="R33" s="3">
        <v>0</v>
      </c>
      <c r="S33" s="3" t="s">
        <v>124</v>
      </c>
      <c r="U33" s="3">
        <v>3</v>
      </c>
      <c r="V33" s="3">
        <v>0</v>
      </c>
      <c r="W33" s="3">
        <v>0</v>
      </c>
    </row>
    <row r="34" spans="1:23" ht="11.25" customHeight="1" x14ac:dyDescent="0.25">
      <c r="A34" s="3" t="s">
        <v>21</v>
      </c>
      <c r="B34" s="3" t="s">
        <v>35</v>
      </c>
      <c r="C34" s="3" t="s">
        <v>54</v>
      </c>
      <c r="D34" s="3" t="s">
        <v>34</v>
      </c>
      <c r="E34" s="3" t="s">
        <v>25</v>
      </c>
      <c r="F34" s="3" t="s">
        <v>55</v>
      </c>
      <c r="G34" s="3" t="s">
        <v>25</v>
      </c>
      <c r="H34" s="3" t="s">
        <v>37</v>
      </c>
      <c r="I34" s="6">
        <v>44682</v>
      </c>
      <c r="J34" s="4">
        <v>87</v>
      </c>
      <c r="K34" s="4">
        <v>43.5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56</v>
      </c>
      <c r="R34" s="3">
        <v>0</v>
      </c>
      <c r="S34" s="3" t="s">
        <v>125</v>
      </c>
      <c r="U34" s="3">
        <v>3</v>
      </c>
      <c r="V34" s="3">
        <v>0</v>
      </c>
      <c r="W34" s="3">
        <v>0</v>
      </c>
    </row>
    <row r="35" spans="1:23" ht="11.25" customHeight="1" x14ac:dyDescent="0.25">
      <c r="A35" s="3" t="s">
        <v>21</v>
      </c>
      <c r="B35" s="3" t="s">
        <v>35</v>
      </c>
      <c r="C35" s="3" t="s">
        <v>54</v>
      </c>
      <c r="D35" s="3" t="s">
        <v>34</v>
      </c>
      <c r="E35" s="3" t="s">
        <v>25</v>
      </c>
      <c r="F35" s="3" t="s">
        <v>55</v>
      </c>
      <c r="G35" s="3" t="s">
        <v>25</v>
      </c>
      <c r="H35" s="3" t="s">
        <v>37</v>
      </c>
      <c r="I35" s="6">
        <v>44713</v>
      </c>
      <c r="J35" s="4">
        <v>87</v>
      </c>
      <c r="K35" s="4">
        <v>43.5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56</v>
      </c>
      <c r="R35" s="3">
        <v>0</v>
      </c>
      <c r="S35" s="3" t="s">
        <v>126</v>
      </c>
      <c r="U35" s="3">
        <v>3</v>
      </c>
      <c r="V35" s="3">
        <v>0</v>
      </c>
      <c r="W35" s="3">
        <v>0</v>
      </c>
    </row>
    <row r="36" spans="1:23" ht="11.25" customHeight="1" x14ac:dyDescent="0.25">
      <c r="A36" s="3" t="s">
        <v>21</v>
      </c>
      <c r="B36" s="3" t="s">
        <v>35</v>
      </c>
      <c r="C36" s="3" t="s">
        <v>54</v>
      </c>
      <c r="D36" s="3" t="s">
        <v>34</v>
      </c>
      <c r="E36" s="3" t="s">
        <v>25</v>
      </c>
      <c r="F36" s="3" t="s">
        <v>55</v>
      </c>
      <c r="G36" s="3" t="s">
        <v>25</v>
      </c>
      <c r="H36" s="3" t="s">
        <v>37</v>
      </c>
      <c r="I36" s="6">
        <v>44743</v>
      </c>
      <c r="J36" s="4">
        <v>87</v>
      </c>
      <c r="K36" s="4">
        <v>43.5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56</v>
      </c>
      <c r="R36" s="3">
        <v>0</v>
      </c>
      <c r="S36" s="3" t="s">
        <v>127</v>
      </c>
      <c r="U36" s="3">
        <v>3</v>
      </c>
      <c r="V36" s="3">
        <v>0</v>
      </c>
      <c r="W36" s="3">
        <v>0</v>
      </c>
    </row>
    <row r="37" spans="1:23" ht="11.25" customHeight="1" x14ac:dyDescent="0.25">
      <c r="A37" s="3" t="s">
        <v>21</v>
      </c>
      <c r="B37" s="3" t="s">
        <v>35</v>
      </c>
      <c r="C37" s="3" t="s">
        <v>54</v>
      </c>
      <c r="D37" s="3" t="s">
        <v>34</v>
      </c>
      <c r="E37" s="3" t="s">
        <v>25</v>
      </c>
      <c r="F37" s="3" t="s">
        <v>55</v>
      </c>
      <c r="G37" s="3" t="s">
        <v>25</v>
      </c>
      <c r="H37" s="3" t="s">
        <v>37</v>
      </c>
      <c r="I37" s="6">
        <v>44774</v>
      </c>
      <c r="J37" s="4">
        <v>87</v>
      </c>
      <c r="K37" s="4">
        <v>43.5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56</v>
      </c>
      <c r="R37" s="3">
        <v>0</v>
      </c>
      <c r="S37" s="3" t="s">
        <v>128</v>
      </c>
      <c r="U37" s="3">
        <v>3</v>
      </c>
      <c r="V37" s="3">
        <v>0</v>
      </c>
      <c r="W37" s="3">
        <v>0</v>
      </c>
    </row>
    <row r="38" spans="1:23" ht="11.25" customHeight="1" x14ac:dyDescent="0.25">
      <c r="A38" s="3" t="s">
        <v>21</v>
      </c>
      <c r="B38" s="3" t="s">
        <v>35</v>
      </c>
      <c r="C38" s="3" t="s">
        <v>36</v>
      </c>
      <c r="D38" s="3" t="s">
        <v>39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200.87100000000001</v>
      </c>
      <c r="M38" s="4">
        <v>200.87100000000001</v>
      </c>
      <c r="N38" s="4">
        <v>200.87100000000001</v>
      </c>
      <c r="O38" s="4">
        <v>200.87100000000001</v>
      </c>
      <c r="P38" s="4">
        <v>0</v>
      </c>
      <c r="Q38" s="3" t="s">
        <v>26</v>
      </c>
      <c r="R38" s="3">
        <v>0</v>
      </c>
      <c r="S38" s="3" t="s">
        <v>129</v>
      </c>
      <c r="T38" s="3" t="s">
        <v>274</v>
      </c>
      <c r="U38" s="3">
        <v>0</v>
      </c>
      <c r="V38" s="3">
        <v>15</v>
      </c>
      <c r="W38" s="3">
        <v>67</v>
      </c>
    </row>
    <row r="39" spans="1:23" ht="11.25" customHeight="1" x14ac:dyDescent="0.25">
      <c r="A39" s="3" t="s">
        <v>21</v>
      </c>
      <c r="B39" s="3" t="s">
        <v>35</v>
      </c>
      <c r="C39" s="3" t="s">
        <v>36</v>
      </c>
      <c r="D39" s="3" t="s">
        <v>39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201.52500000000001</v>
      </c>
      <c r="M39" s="4">
        <v>201.52500000000001</v>
      </c>
      <c r="N39" s="4">
        <v>201.52500000000001</v>
      </c>
      <c r="O39" s="4">
        <v>201.52500000000001</v>
      </c>
      <c r="P39" s="4">
        <v>0</v>
      </c>
      <c r="Q39" s="3" t="s">
        <v>26</v>
      </c>
      <c r="R39" s="3">
        <v>0</v>
      </c>
      <c r="S39" s="3" t="s">
        <v>130</v>
      </c>
      <c r="T39" s="3" t="s">
        <v>275</v>
      </c>
      <c r="U39" s="3">
        <v>0</v>
      </c>
      <c r="V39" s="3">
        <v>15</v>
      </c>
      <c r="W39" s="3">
        <v>67</v>
      </c>
    </row>
    <row r="40" spans="1:23" ht="11.25" customHeight="1" x14ac:dyDescent="0.25">
      <c r="A40" s="3" t="s">
        <v>21</v>
      </c>
      <c r="B40" s="3" t="s">
        <v>35</v>
      </c>
      <c r="C40" s="3" t="s">
        <v>36</v>
      </c>
      <c r="D40" s="3" t="s">
        <v>39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208.23400000000001</v>
      </c>
      <c r="M40" s="4">
        <v>208.23400000000001</v>
      </c>
      <c r="N40" s="4">
        <v>208.23400000000001</v>
      </c>
      <c r="O40" s="4">
        <v>208.23400000000001</v>
      </c>
      <c r="P40" s="4">
        <v>0</v>
      </c>
      <c r="Q40" s="3" t="s">
        <v>26</v>
      </c>
      <c r="R40" s="3">
        <v>0</v>
      </c>
      <c r="S40" s="3" t="s">
        <v>131</v>
      </c>
      <c r="T40" s="3" t="s">
        <v>276</v>
      </c>
      <c r="U40" s="3">
        <v>0</v>
      </c>
      <c r="V40" s="3">
        <v>15</v>
      </c>
      <c r="W40" s="3">
        <v>67</v>
      </c>
    </row>
    <row r="41" spans="1:23" ht="11.25" customHeight="1" x14ac:dyDescent="0.25">
      <c r="A41" s="3" t="s">
        <v>21</v>
      </c>
      <c r="B41" s="3" t="s">
        <v>35</v>
      </c>
      <c r="C41" s="3" t="s">
        <v>36</v>
      </c>
      <c r="D41" s="3" t="s">
        <v>39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227.43100000000001</v>
      </c>
      <c r="M41" s="4">
        <v>227.43100000000001</v>
      </c>
      <c r="N41" s="4">
        <v>227.43100000000001</v>
      </c>
      <c r="O41" s="4">
        <v>227.43100000000001</v>
      </c>
      <c r="P41" s="4">
        <v>0</v>
      </c>
      <c r="Q41" s="3" t="s">
        <v>26</v>
      </c>
      <c r="R41" s="3">
        <v>0</v>
      </c>
      <c r="S41" s="3" t="s">
        <v>132</v>
      </c>
      <c r="T41" s="3" t="s">
        <v>277</v>
      </c>
      <c r="U41" s="3">
        <v>0</v>
      </c>
      <c r="V41" s="3">
        <v>15</v>
      </c>
      <c r="W41" s="3">
        <v>67</v>
      </c>
    </row>
    <row r="42" spans="1:23" ht="11.25" customHeight="1" x14ac:dyDescent="0.25">
      <c r="A42" s="3" t="s">
        <v>21</v>
      </c>
      <c r="B42" s="3" t="s">
        <v>35</v>
      </c>
      <c r="C42" s="3" t="s">
        <v>36</v>
      </c>
      <c r="D42" s="3" t="s">
        <v>39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219.87799999999999</v>
      </c>
      <c r="M42" s="4">
        <v>219.87799999999999</v>
      </c>
      <c r="N42" s="4">
        <v>219.87799999999999</v>
      </c>
      <c r="O42" s="4">
        <v>219.87799999999999</v>
      </c>
      <c r="P42" s="4">
        <v>0</v>
      </c>
      <c r="Q42" s="3" t="s">
        <v>26</v>
      </c>
      <c r="R42" s="3">
        <v>0</v>
      </c>
      <c r="S42" s="3" t="s">
        <v>133</v>
      </c>
      <c r="T42" s="3" t="s">
        <v>278</v>
      </c>
      <c r="U42" s="3">
        <v>0</v>
      </c>
      <c r="V42" s="3">
        <v>15</v>
      </c>
      <c r="W42" s="3">
        <v>67</v>
      </c>
    </row>
    <row r="43" spans="1:23" ht="11.25" customHeight="1" x14ac:dyDescent="0.25">
      <c r="A43" s="3" t="s">
        <v>21</v>
      </c>
      <c r="B43" s="3" t="s">
        <v>35</v>
      </c>
      <c r="C43" s="3" t="s">
        <v>36</v>
      </c>
      <c r="D43" s="3" t="s">
        <v>39</v>
      </c>
      <c r="E43" s="3" t="s">
        <v>25</v>
      </c>
      <c r="F43" s="3" t="s">
        <v>25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222.27699999999999</v>
      </c>
      <c r="M43" s="4">
        <v>222.27699999999999</v>
      </c>
      <c r="N43" s="4">
        <v>222.27699999999999</v>
      </c>
      <c r="O43" s="4">
        <v>222.27699999999999</v>
      </c>
      <c r="P43" s="4">
        <v>0</v>
      </c>
      <c r="Q43" s="3" t="s">
        <v>26</v>
      </c>
      <c r="R43" s="3">
        <v>0</v>
      </c>
      <c r="S43" s="3" t="s">
        <v>134</v>
      </c>
      <c r="T43" s="3" t="s">
        <v>279</v>
      </c>
      <c r="U43" s="3">
        <v>0</v>
      </c>
      <c r="V43" s="3">
        <v>15</v>
      </c>
      <c r="W43" s="3">
        <v>67</v>
      </c>
    </row>
    <row r="44" spans="1:23" ht="11.25" customHeight="1" x14ac:dyDescent="0.25">
      <c r="A44" s="3" t="s">
        <v>21</v>
      </c>
      <c r="B44" s="3" t="s">
        <v>35</v>
      </c>
      <c r="C44" s="3" t="s">
        <v>36</v>
      </c>
      <c r="D44" s="3" t="s">
        <v>39</v>
      </c>
      <c r="E44" s="3" t="s">
        <v>25</v>
      </c>
      <c r="F44" s="3" t="s">
        <v>25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279.68700000000001</v>
      </c>
      <c r="M44" s="4">
        <v>279.68700000000001</v>
      </c>
      <c r="N44" s="4">
        <v>279.68700000000001</v>
      </c>
      <c r="O44" s="4">
        <v>279.68700000000001</v>
      </c>
      <c r="P44" s="4">
        <v>0</v>
      </c>
      <c r="Q44" s="3" t="s">
        <v>26</v>
      </c>
      <c r="R44" s="3">
        <v>0</v>
      </c>
      <c r="S44" s="3" t="s">
        <v>135</v>
      </c>
      <c r="T44" s="3" t="s">
        <v>280</v>
      </c>
      <c r="U44" s="3">
        <v>0</v>
      </c>
      <c r="V44" s="3">
        <v>15</v>
      </c>
      <c r="W44" s="3">
        <v>67</v>
      </c>
    </row>
    <row r="45" spans="1:23" ht="11.25" customHeight="1" x14ac:dyDescent="0.25">
      <c r="A45" s="3" t="s">
        <v>21</v>
      </c>
      <c r="B45" s="3" t="s">
        <v>35</v>
      </c>
      <c r="C45" s="3" t="s">
        <v>36</v>
      </c>
      <c r="D45" s="3" t="s">
        <v>39</v>
      </c>
      <c r="E45" s="3" t="s">
        <v>25</v>
      </c>
      <c r="F45" s="3" t="s">
        <v>25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224.06100000000001</v>
      </c>
      <c r="M45" s="4">
        <v>224.06100000000001</v>
      </c>
      <c r="N45" s="4">
        <v>224.06100000000001</v>
      </c>
      <c r="O45" s="4">
        <v>224.06100000000001</v>
      </c>
      <c r="P45" s="4">
        <v>0</v>
      </c>
      <c r="Q45" s="3" t="s">
        <v>26</v>
      </c>
      <c r="R45" s="3">
        <v>0</v>
      </c>
      <c r="S45" s="3" t="s">
        <v>136</v>
      </c>
      <c r="T45" s="3" t="s">
        <v>281</v>
      </c>
      <c r="U45" s="3">
        <v>0</v>
      </c>
      <c r="V45" s="3">
        <v>15</v>
      </c>
      <c r="W45" s="3">
        <v>67</v>
      </c>
    </row>
    <row r="46" spans="1:23" ht="11.25" customHeight="1" x14ac:dyDescent="0.25">
      <c r="A46" s="3" t="s">
        <v>21</v>
      </c>
      <c r="B46" s="3" t="s">
        <v>35</v>
      </c>
      <c r="C46" s="3" t="s">
        <v>36</v>
      </c>
      <c r="D46" s="3" t="s">
        <v>39</v>
      </c>
      <c r="E46" s="3" t="s">
        <v>25</v>
      </c>
      <c r="F46" s="3" t="s">
        <v>25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224.512</v>
      </c>
      <c r="M46" s="4">
        <v>224.512</v>
      </c>
      <c r="N46" s="4">
        <v>224.512</v>
      </c>
      <c r="O46" s="4">
        <v>224.512</v>
      </c>
      <c r="P46" s="4">
        <v>0</v>
      </c>
      <c r="Q46" s="3" t="s">
        <v>26</v>
      </c>
      <c r="R46" s="3">
        <v>0</v>
      </c>
      <c r="S46" s="3" t="s">
        <v>137</v>
      </c>
      <c r="T46" s="3" t="s">
        <v>282</v>
      </c>
      <c r="U46" s="3">
        <v>0</v>
      </c>
      <c r="V46" s="3">
        <v>15</v>
      </c>
      <c r="W46" s="3">
        <v>67</v>
      </c>
    </row>
    <row r="47" spans="1:23" ht="11.25" customHeight="1" x14ac:dyDescent="0.25">
      <c r="A47" s="3" t="s">
        <v>21</v>
      </c>
      <c r="B47" s="3" t="s">
        <v>35</v>
      </c>
      <c r="C47" s="3" t="s">
        <v>36</v>
      </c>
      <c r="D47" s="3" t="s">
        <v>39</v>
      </c>
      <c r="E47" s="3" t="s">
        <v>25</v>
      </c>
      <c r="F47" s="3" t="s">
        <v>25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175.81</v>
      </c>
      <c r="M47" s="4">
        <v>175.81</v>
      </c>
      <c r="N47" s="4">
        <v>175.81</v>
      </c>
      <c r="O47" s="4">
        <v>175.81</v>
      </c>
      <c r="P47" s="4">
        <v>0</v>
      </c>
      <c r="Q47" s="3" t="s">
        <v>26</v>
      </c>
      <c r="R47" s="3">
        <v>0</v>
      </c>
      <c r="S47" s="3" t="s">
        <v>138</v>
      </c>
      <c r="T47" s="3" t="s">
        <v>283</v>
      </c>
      <c r="U47" s="3">
        <v>0</v>
      </c>
      <c r="V47" s="3">
        <v>15</v>
      </c>
      <c r="W47" s="3">
        <v>67</v>
      </c>
    </row>
    <row r="48" spans="1:23" ht="11.25" customHeight="1" x14ac:dyDescent="0.25">
      <c r="A48" s="3" t="s">
        <v>28</v>
      </c>
      <c r="B48" s="3" t="s">
        <v>35</v>
      </c>
      <c r="C48" s="3" t="s">
        <v>36</v>
      </c>
      <c r="D48" s="3" t="s">
        <v>39</v>
      </c>
      <c r="E48" s="3" t="s">
        <v>25</v>
      </c>
      <c r="F48" s="3" t="s">
        <v>25</v>
      </c>
      <c r="G48" s="3" t="s">
        <v>25</v>
      </c>
      <c r="H48" s="3" t="s">
        <v>38</v>
      </c>
      <c r="I48" s="6">
        <v>44713</v>
      </c>
      <c r="J48" s="4">
        <v>0</v>
      </c>
      <c r="K48" s="4">
        <v>0</v>
      </c>
      <c r="L48" s="4">
        <v>24.280999999999999</v>
      </c>
      <c r="M48" s="4">
        <v>24.280999999999999</v>
      </c>
      <c r="N48" s="4">
        <v>24.280999999999999</v>
      </c>
      <c r="O48" s="4">
        <v>24.280999999999999</v>
      </c>
      <c r="P48" s="4">
        <v>0</v>
      </c>
      <c r="Q48" s="3" t="s">
        <v>26</v>
      </c>
      <c r="R48" s="3">
        <v>0</v>
      </c>
      <c r="S48" s="3" t="s">
        <v>138</v>
      </c>
      <c r="T48" s="3" t="s">
        <v>283</v>
      </c>
      <c r="U48" s="3">
        <v>0</v>
      </c>
      <c r="V48" s="3">
        <v>15</v>
      </c>
      <c r="W48" s="3">
        <v>67</v>
      </c>
    </row>
    <row r="49" spans="1:23" ht="11.25" customHeight="1" x14ac:dyDescent="0.25">
      <c r="A49" s="3" t="s">
        <v>21</v>
      </c>
      <c r="B49" s="3" t="s">
        <v>35</v>
      </c>
      <c r="C49" s="3" t="s">
        <v>36</v>
      </c>
      <c r="D49" s="3" t="s">
        <v>39</v>
      </c>
      <c r="E49" s="3" t="s">
        <v>25</v>
      </c>
      <c r="F49" s="3" t="s">
        <v>25</v>
      </c>
      <c r="G49" s="3" t="s">
        <v>25</v>
      </c>
      <c r="H49" s="3" t="s">
        <v>38</v>
      </c>
      <c r="I49" s="6">
        <v>44743</v>
      </c>
      <c r="J49" s="4">
        <v>0</v>
      </c>
      <c r="K49" s="4">
        <v>0</v>
      </c>
      <c r="L49" s="4">
        <v>179.95099999999999</v>
      </c>
      <c r="M49" s="4">
        <v>179.95099999999999</v>
      </c>
      <c r="N49" s="4">
        <v>179.95099999999999</v>
      </c>
      <c r="O49" s="4">
        <v>179.95099999999999</v>
      </c>
      <c r="P49" s="4">
        <v>0</v>
      </c>
      <c r="Q49" s="3" t="s">
        <v>26</v>
      </c>
      <c r="R49" s="3">
        <v>0</v>
      </c>
      <c r="S49" s="3" t="s">
        <v>139</v>
      </c>
      <c r="T49" s="3" t="s">
        <v>284</v>
      </c>
      <c r="U49" s="3">
        <v>0</v>
      </c>
      <c r="V49" s="3">
        <v>15</v>
      </c>
      <c r="W49" s="3">
        <v>67</v>
      </c>
    </row>
    <row r="50" spans="1:23" ht="11.25" customHeight="1" x14ac:dyDescent="0.25">
      <c r="A50" s="3" t="s">
        <v>28</v>
      </c>
      <c r="B50" s="3" t="s">
        <v>35</v>
      </c>
      <c r="C50" s="3" t="s">
        <v>36</v>
      </c>
      <c r="D50" s="3" t="s">
        <v>39</v>
      </c>
      <c r="E50" s="3" t="s">
        <v>25</v>
      </c>
      <c r="F50" s="3" t="s">
        <v>25</v>
      </c>
      <c r="G50" s="3" t="s">
        <v>25</v>
      </c>
      <c r="H50" s="3" t="s">
        <v>38</v>
      </c>
      <c r="I50" s="6">
        <v>44743</v>
      </c>
      <c r="J50" s="4">
        <v>0</v>
      </c>
      <c r="K50" s="4">
        <v>0</v>
      </c>
      <c r="L50" s="4">
        <v>30.029</v>
      </c>
      <c r="M50" s="4">
        <v>30.029</v>
      </c>
      <c r="N50" s="4">
        <v>30.029</v>
      </c>
      <c r="O50" s="4">
        <v>30.029</v>
      </c>
      <c r="P50" s="4">
        <v>0</v>
      </c>
      <c r="Q50" s="3" t="s">
        <v>26</v>
      </c>
      <c r="R50" s="3">
        <v>0</v>
      </c>
      <c r="S50" s="3" t="s">
        <v>139</v>
      </c>
      <c r="T50" s="3" t="s">
        <v>284</v>
      </c>
      <c r="U50" s="3">
        <v>0</v>
      </c>
      <c r="V50" s="3">
        <v>15</v>
      </c>
      <c r="W50" s="3">
        <v>67</v>
      </c>
    </row>
    <row r="51" spans="1:23" ht="11.25" customHeight="1" x14ac:dyDescent="0.25">
      <c r="A51" s="3" t="s">
        <v>21</v>
      </c>
      <c r="B51" s="3" t="s">
        <v>35</v>
      </c>
      <c r="C51" s="3" t="s">
        <v>36</v>
      </c>
      <c r="D51" s="3" t="s">
        <v>39</v>
      </c>
      <c r="E51" s="3" t="s">
        <v>25</v>
      </c>
      <c r="F51" s="3" t="s">
        <v>25</v>
      </c>
      <c r="G51" s="3" t="s">
        <v>25</v>
      </c>
      <c r="H51" s="3" t="s">
        <v>38</v>
      </c>
      <c r="I51" s="6">
        <v>44774</v>
      </c>
      <c r="J51" s="4">
        <v>0</v>
      </c>
      <c r="K51" s="4">
        <v>0</v>
      </c>
      <c r="L51" s="4">
        <v>224.81299999999999</v>
      </c>
      <c r="M51" s="4">
        <v>224.81299999999999</v>
      </c>
      <c r="N51" s="4">
        <v>224.81299999999999</v>
      </c>
      <c r="O51" s="4">
        <v>224.81299999999999</v>
      </c>
      <c r="P51" s="4">
        <v>0</v>
      </c>
      <c r="Q51" s="3" t="s">
        <v>26</v>
      </c>
      <c r="R51" s="3">
        <v>0</v>
      </c>
      <c r="S51" s="3" t="s">
        <v>140</v>
      </c>
      <c r="T51" s="3" t="s">
        <v>285</v>
      </c>
      <c r="U51" s="3">
        <v>0</v>
      </c>
      <c r="V51" s="3">
        <v>15</v>
      </c>
      <c r="W51" s="3">
        <v>67</v>
      </c>
    </row>
    <row r="52" spans="1:23" ht="11.25" customHeight="1" x14ac:dyDescent="0.25">
      <c r="A52" s="3" t="s">
        <v>28</v>
      </c>
      <c r="B52" s="3" t="s">
        <v>35</v>
      </c>
      <c r="C52" s="3" t="s">
        <v>36</v>
      </c>
      <c r="D52" s="3" t="s">
        <v>39</v>
      </c>
      <c r="E52" s="3" t="s">
        <v>25</v>
      </c>
      <c r="F52" s="3" t="s">
        <v>25</v>
      </c>
      <c r="G52" s="3" t="s">
        <v>25</v>
      </c>
      <c r="H52" s="3" t="s">
        <v>38</v>
      </c>
      <c r="I52" s="6">
        <v>44774</v>
      </c>
      <c r="J52" s="4">
        <v>0</v>
      </c>
      <c r="K52" s="4">
        <v>0</v>
      </c>
      <c r="L52" s="4">
        <v>28.870999999999999</v>
      </c>
      <c r="M52" s="4">
        <v>28.870999999999999</v>
      </c>
      <c r="N52" s="4">
        <v>28.870999999999999</v>
      </c>
      <c r="O52" s="4">
        <v>28.870999999999999</v>
      </c>
      <c r="P52" s="4">
        <v>0</v>
      </c>
      <c r="Q52" s="3" t="s">
        <v>26</v>
      </c>
      <c r="R52" s="3">
        <v>0</v>
      </c>
      <c r="S52" s="3" t="s">
        <v>140</v>
      </c>
      <c r="T52" s="3" t="s">
        <v>285</v>
      </c>
      <c r="U52" s="3">
        <v>0</v>
      </c>
      <c r="V52" s="3">
        <v>15</v>
      </c>
      <c r="W52" s="3">
        <v>67</v>
      </c>
    </row>
    <row r="53" spans="1:23" ht="11.25" customHeight="1" x14ac:dyDescent="0.25">
      <c r="A53" s="3" t="s">
        <v>21</v>
      </c>
      <c r="B53" s="3" t="s">
        <v>35</v>
      </c>
      <c r="C53" s="3" t="s">
        <v>36</v>
      </c>
      <c r="D53" s="3" t="s">
        <v>39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44440</v>
      </c>
      <c r="J53" s="4">
        <v>1155</v>
      </c>
      <c r="K53" s="4">
        <v>1155</v>
      </c>
      <c r="L53" s="4">
        <v>0</v>
      </c>
      <c r="M53" s="4">
        <v>0</v>
      </c>
      <c r="N53" s="4">
        <v>0</v>
      </c>
      <c r="O53" s="4">
        <v>0</v>
      </c>
      <c r="P53" s="4">
        <v>11</v>
      </c>
      <c r="Q53" s="3" t="s">
        <v>26</v>
      </c>
      <c r="R53" s="3">
        <v>0</v>
      </c>
      <c r="S53" s="3" t="s">
        <v>141</v>
      </c>
      <c r="U53" s="3">
        <v>22</v>
      </c>
      <c r="V53" s="3">
        <v>0</v>
      </c>
      <c r="W53" s="3">
        <v>0</v>
      </c>
    </row>
    <row r="54" spans="1:23" ht="11.25" customHeight="1" x14ac:dyDescent="0.25">
      <c r="A54" s="3" t="s">
        <v>27</v>
      </c>
      <c r="B54" s="3" t="s">
        <v>35</v>
      </c>
      <c r="C54" s="3" t="s">
        <v>36</v>
      </c>
      <c r="D54" s="3" t="s">
        <v>39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44440</v>
      </c>
      <c r="J54" s="4">
        <v>-60</v>
      </c>
      <c r="K54" s="4">
        <v>-60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26</v>
      </c>
      <c r="R54" s="3">
        <v>0</v>
      </c>
      <c r="S54" s="3" t="s">
        <v>141</v>
      </c>
      <c r="U54" s="3">
        <v>22</v>
      </c>
      <c r="V54" s="3">
        <v>0</v>
      </c>
      <c r="W54" s="3">
        <v>0</v>
      </c>
    </row>
    <row r="55" spans="1:23" ht="11.25" customHeight="1" x14ac:dyDescent="0.25">
      <c r="A55" s="3" t="s">
        <v>28</v>
      </c>
      <c r="B55" s="3" t="s">
        <v>35</v>
      </c>
      <c r="C55" s="3" t="s">
        <v>36</v>
      </c>
      <c r="D55" s="3" t="s">
        <v>39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44440</v>
      </c>
      <c r="J55" s="4">
        <v>180</v>
      </c>
      <c r="K55" s="4">
        <v>180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3" t="s">
        <v>26</v>
      </c>
      <c r="R55" s="3">
        <v>0</v>
      </c>
      <c r="S55" s="3" t="s">
        <v>141</v>
      </c>
      <c r="U55" s="3">
        <v>22</v>
      </c>
      <c r="V55" s="3">
        <v>0</v>
      </c>
      <c r="W55" s="3">
        <v>0</v>
      </c>
    </row>
    <row r="56" spans="1:23" ht="11.25" customHeight="1" x14ac:dyDescent="0.25">
      <c r="A56" s="3" t="s">
        <v>21</v>
      </c>
      <c r="B56" s="3" t="s">
        <v>35</v>
      </c>
      <c r="C56" s="3" t="s">
        <v>36</v>
      </c>
      <c r="D56" s="3" t="s">
        <v>39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44470</v>
      </c>
      <c r="J56" s="4">
        <v>1178</v>
      </c>
      <c r="K56" s="4">
        <v>1178</v>
      </c>
      <c r="L56" s="4">
        <v>0</v>
      </c>
      <c r="M56" s="4">
        <v>0</v>
      </c>
      <c r="N56" s="4">
        <v>0</v>
      </c>
      <c r="O56" s="4">
        <v>0</v>
      </c>
      <c r="P56" s="4">
        <v>12</v>
      </c>
      <c r="Q56" s="3" t="s">
        <v>26</v>
      </c>
      <c r="R56" s="3">
        <v>0</v>
      </c>
      <c r="S56" s="3" t="s">
        <v>142</v>
      </c>
      <c r="U56" s="3">
        <v>22</v>
      </c>
      <c r="V56" s="3">
        <v>0</v>
      </c>
      <c r="W56" s="3">
        <v>0</v>
      </c>
    </row>
    <row r="57" spans="1:23" ht="11.25" customHeight="1" x14ac:dyDescent="0.25">
      <c r="A57" s="3" t="s">
        <v>28</v>
      </c>
      <c r="B57" s="3" t="s">
        <v>35</v>
      </c>
      <c r="C57" s="3" t="s">
        <v>36</v>
      </c>
      <c r="D57" s="3" t="s">
        <v>39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44470</v>
      </c>
      <c r="J57" s="4">
        <v>180</v>
      </c>
      <c r="K57" s="4">
        <v>180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3" t="s">
        <v>26</v>
      </c>
      <c r="R57" s="3">
        <v>0</v>
      </c>
      <c r="S57" s="3" t="s">
        <v>142</v>
      </c>
      <c r="U57" s="3">
        <v>22</v>
      </c>
      <c r="V57" s="3">
        <v>0</v>
      </c>
      <c r="W57" s="3">
        <v>0</v>
      </c>
    </row>
    <row r="58" spans="1:23" ht="11.25" customHeight="1" x14ac:dyDescent="0.25">
      <c r="A58" s="3" t="s">
        <v>21</v>
      </c>
      <c r="B58" s="3" t="s">
        <v>35</v>
      </c>
      <c r="C58" s="3" t="s">
        <v>36</v>
      </c>
      <c r="D58" s="3" t="s">
        <v>39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44501</v>
      </c>
      <c r="J58" s="4">
        <v>1282</v>
      </c>
      <c r="K58" s="4">
        <v>1282</v>
      </c>
      <c r="L58" s="4">
        <v>0</v>
      </c>
      <c r="M58" s="4">
        <v>0</v>
      </c>
      <c r="N58" s="4">
        <v>0</v>
      </c>
      <c r="O58" s="4">
        <v>0</v>
      </c>
      <c r="P58" s="4">
        <v>12</v>
      </c>
      <c r="Q58" s="3" t="s">
        <v>26</v>
      </c>
      <c r="R58" s="3">
        <v>0</v>
      </c>
      <c r="S58" s="3" t="s">
        <v>143</v>
      </c>
      <c r="U58" s="3">
        <v>22</v>
      </c>
      <c r="V58" s="3">
        <v>0</v>
      </c>
      <c r="W58" s="3">
        <v>0</v>
      </c>
    </row>
    <row r="59" spans="1:23" ht="11.25" customHeight="1" x14ac:dyDescent="0.25">
      <c r="A59" s="3" t="s">
        <v>28</v>
      </c>
      <c r="B59" s="3" t="s">
        <v>35</v>
      </c>
      <c r="C59" s="3" t="s">
        <v>36</v>
      </c>
      <c r="D59" s="3" t="s">
        <v>39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44501</v>
      </c>
      <c r="J59" s="4">
        <v>180</v>
      </c>
      <c r="K59" s="4">
        <v>180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3" t="s">
        <v>26</v>
      </c>
      <c r="R59" s="3">
        <v>0</v>
      </c>
      <c r="S59" s="3" t="s">
        <v>143</v>
      </c>
      <c r="U59" s="3">
        <v>22</v>
      </c>
      <c r="V59" s="3">
        <v>0</v>
      </c>
      <c r="W59" s="3">
        <v>0</v>
      </c>
    </row>
    <row r="60" spans="1:23" ht="11.25" customHeight="1" x14ac:dyDescent="0.25">
      <c r="A60" s="3" t="s">
        <v>21</v>
      </c>
      <c r="B60" s="3" t="s">
        <v>35</v>
      </c>
      <c r="C60" s="3" t="s">
        <v>36</v>
      </c>
      <c r="D60" s="3" t="s">
        <v>39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44531</v>
      </c>
      <c r="J60" s="4">
        <v>1284</v>
      </c>
      <c r="K60" s="4">
        <v>1284</v>
      </c>
      <c r="L60" s="4">
        <v>0</v>
      </c>
      <c r="M60" s="4">
        <v>0</v>
      </c>
      <c r="N60" s="4">
        <v>0</v>
      </c>
      <c r="O60" s="4">
        <v>0</v>
      </c>
      <c r="P60" s="4">
        <v>12</v>
      </c>
      <c r="Q60" s="3" t="s">
        <v>26</v>
      </c>
      <c r="R60" s="3">
        <v>0</v>
      </c>
      <c r="S60" s="3" t="s">
        <v>144</v>
      </c>
      <c r="U60" s="3">
        <v>22</v>
      </c>
      <c r="V60" s="3">
        <v>0</v>
      </c>
      <c r="W60" s="3">
        <v>0</v>
      </c>
    </row>
    <row r="61" spans="1:23" ht="11.25" customHeight="1" x14ac:dyDescent="0.25">
      <c r="A61" s="3" t="s">
        <v>28</v>
      </c>
      <c r="B61" s="3" t="s">
        <v>35</v>
      </c>
      <c r="C61" s="3" t="s">
        <v>36</v>
      </c>
      <c r="D61" s="3" t="s">
        <v>39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44531</v>
      </c>
      <c r="J61" s="4">
        <v>198</v>
      </c>
      <c r="K61" s="4">
        <v>198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3" t="s">
        <v>26</v>
      </c>
      <c r="R61" s="3">
        <v>0</v>
      </c>
      <c r="S61" s="3" t="s">
        <v>144</v>
      </c>
      <c r="U61" s="3">
        <v>22</v>
      </c>
      <c r="V61" s="3">
        <v>0</v>
      </c>
      <c r="W61" s="3">
        <v>0</v>
      </c>
    </row>
    <row r="62" spans="1:23" ht="11.25" customHeight="1" x14ac:dyDescent="0.25">
      <c r="A62" s="3" t="s">
        <v>21</v>
      </c>
      <c r="B62" s="3" t="s">
        <v>35</v>
      </c>
      <c r="C62" s="3" t="s">
        <v>36</v>
      </c>
      <c r="D62" s="3" t="s">
        <v>39</v>
      </c>
      <c r="E62" s="3" t="s">
        <v>25</v>
      </c>
      <c r="F62" s="3" t="s">
        <v>25</v>
      </c>
      <c r="G62" s="3" t="s">
        <v>25</v>
      </c>
      <c r="H62" s="3" t="s">
        <v>25</v>
      </c>
      <c r="I62" s="6">
        <v>44562</v>
      </c>
      <c r="J62" s="4">
        <v>1365</v>
      </c>
      <c r="K62" s="4">
        <v>1365</v>
      </c>
      <c r="L62" s="4">
        <v>0</v>
      </c>
      <c r="M62" s="4">
        <v>0</v>
      </c>
      <c r="N62" s="4">
        <v>0</v>
      </c>
      <c r="O62" s="4">
        <v>0</v>
      </c>
      <c r="P62" s="4">
        <v>12</v>
      </c>
      <c r="Q62" s="3" t="s">
        <v>26</v>
      </c>
      <c r="R62" s="3">
        <v>0</v>
      </c>
      <c r="S62" s="3" t="s">
        <v>145</v>
      </c>
      <c r="U62" s="3">
        <v>22</v>
      </c>
      <c r="V62" s="3">
        <v>0</v>
      </c>
      <c r="W62" s="3">
        <v>0</v>
      </c>
    </row>
    <row r="63" spans="1:23" ht="11.25" customHeight="1" x14ac:dyDescent="0.25">
      <c r="A63" s="3" t="s">
        <v>28</v>
      </c>
      <c r="B63" s="3" t="s">
        <v>35</v>
      </c>
      <c r="C63" s="3" t="s">
        <v>36</v>
      </c>
      <c r="D63" s="3" t="s">
        <v>39</v>
      </c>
      <c r="E63" s="3" t="s">
        <v>25</v>
      </c>
      <c r="F63" s="3" t="s">
        <v>25</v>
      </c>
      <c r="G63" s="3" t="s">
        <v>25</v>
      </c>
      <c r="H63" s="3" t="s">
        <v>25</v>
      </c>
      <c r="I63" s="6">
        <v>44562</v>
      </c>
      <c r="J63" s="4">
        <v>180</v>
      </c>
      <c r="K63" s="4">
        <v>180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3" t="s">
        <v>26</v>
      </c>
      <c r="R63" s="3">
        <v>0</v>
      </c>
      <c r="S63" s="3" t="s">
        <v>145</v>
      </c>
      <c r="U63" s="3">
        <v>22</v>
      </c>
      <c r="V63" s="3">
        <v>0</v>
      </c>
      <c r="W63" s="3">
        <v>0</v>
      </c>
    </row>
    <row r="64" spans="1:23" ht="11.25" customHeight="1" x14ac:dyDescent="0.25">
      <c r="A64" s="3" t="s">
        <v>21</v>
      </c>
      <c r="B64" s="3" t="s">
        <v>35</v>
      </c>
      <c r="C64" s="3" t="s">
        <v>36</v>
      </c>
      <c r="D64" s="3" t="s">
        <v>39</v>
      </c>
      <c r="E64" s="3" t="s">
        <v>25</v>
      </c>
      <c r="F64" s="3" t="s">
        <v>25</v>
      </c>
      <c r="G64" s="3" t="s">
        <v>25</v>
      </c>
      <c r="H64" s="3" t="s">
        <v>25</v>
      </c>
      <c r="I64" s="6">
        <v>44593</v>
      </c>
      <c r="J64" s="4">
        <v>1387</v>
      </c>
      <c r="K64" s="4">
        <v>1387</v>
      </c>
      <c r="L64" s="4">
        <v>0</v>
      </c>
      <c r="M64" s="4">
        <v>0</v>
      </c>
      <c r="N64" s="4">
        <v>0</v>
      </c>
      <c r="O64" s="4">
        <v>0</v>
      </c>
      <c r="P64" s="4">
        <v>12</v>
      </c>
      <c r="Q64" s="3" t="s">
        <v>26</v>
      </c>
      <c r="R64" s="3">
        <v>0</v>
      </c>
      <c r="S64" s="3" t="s">
        <v>146</v>
      </c>
      <c r="U64" s="3">
        <v>22</v>
      </c>
      <c r="V64" s="3">
        <v>0</v>
      </c>
      <c r="W64" s="3">
        <v>0</v>
      </c>
    </row>
    <row r="65" spans="1:23" ht="11.25" customHeight="1" x14ac:dyDescent="0.25">
      <c r="A65" s="3" t="s">
        <v>28</v>
      </c>
      <c r="B65" s="3" t="s">
        <v>35</v>
      </c>
      <c r="C65" s="3" t="s">
        <v>36</v>
      </c>
      <c r="D65" s="3" t="s">
        <v>39</v>
      </c>
      <c r="E65" s="3" t="s">
        <v>25</v>
      </c>
      <c r="F65" s="3" t="s">
        <v>25</v>
      </c>
      <c r="G65" s="3" t="s">
        <v>25</v>
      </c>
      <c r="H65" s="3" t="s">
        <v>25</v>
      </c>
      <c r="I65" s="6">
        <v>44593</v>
      </c>
      <c r="J65" s="4">
        <v>180</v>
      </c>
      <c r="K65" s="4">
        <v>180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3" t="s">
        <v>26</v>
      </c>
      <c r="R65" s="3">
        <v>0</v>
      </c>
      <c r="S65" s="3" t="s">
        <v>146</v>
      </c>
      <c r="U65" s="3">
        <v>22</v>
      </c>
      <c r="V65" s="3">
        <v>0</v>
      </c>
      <c r="W65" s="3">
        <v>0</v>
      </c>
    </row>
    <row r="66" spans="1:23" ht="11.25" customHeight="1" x14ac:dyDescent="0.25">
      <c r="A66" s="3" t="s">
        <v>21</v>
      </c>
      <c r="B66" s="3" t="s">
        <v>35</v>
      </c>
      <c r="C66" s="3" t="s">
        <v>36</v>
      </c>
      <c r="D66" s="3" t="s">
        <v>39</v>
      </c>
      <c r="E66" s="3" t="s">
        <v>25</v>
      </c>
      <c r="F66" s="3" t="s">
        <v>25</v>
      </c>
      <c r="G66" s="3" t="s">
        <v>25</v>
      </c>
      <c r="H66" s="3" t="s">
        <v>25</v>
      </c>
      <c r="I66" s="6">
        <v>44621</v>
      </c>
      <c r="J66" s="4">
        <v>1462</v>
      </c>
      <c r="K66" s="4">
        <v>1462</v>
      </c>
      <c r="L66" s="4">
        <v>0</v>
      </c>
      <c r="M66" s="4">
        <v>0</v>
      </c>
      <c r="N66" s="4">
        <v>0</v>
      </c>
      <c r="O66" s="4">
        <v>0</v>
      </c>
      <c r="P66" s="4">
        <v>12</v>
      </c>
      <c r="Q66" s="3" t="s">
        <v>26</v>
      </c>
      <c r="R66" s="3">
        <v>0</v>
      </c>
      <c r="S66" s="3" t="s">
        <v>147</v>
      </c>
      <c r="U66" s="3">
        <v>22</v>
      </c>
      <c r="V66" s="3">
        <v>0</v>
      </c>
      <c r="W66" s="3">
        <v>0</v>
      </c>
    </row>
    <row r="67" spans="1:23" ht="11.25" customHeight="1" x14ac:dyDescent="0.25">
      <c r="A67" s="3" t="s">
        <v>28</v>
      </c>
      <c r="B67" s="3" t="s">
        <v>35</v>
      </c>
      <c r="C67" s="3" t="s">
        <v>36</v>
      </c>
      <c r="D67" s="3" t="s">
        <v>39</v>
      </c>
      <c r="E67" s="3" t="s">
        <v>25</v>
      </c>
      <c r="F67" s="3" t="s">
        <v>25</v>
      </c>
      <c r="G67" s="3" t="s">
        <v>25</v>
      </c>
      <c r="H67" s="3" t="s">
        <v>25</v>
      </c>
      <c r="I67" s="6">
        <v>44621</v>
      </c>
      <c r="J67" s="4">
        <v>180</v>
      </c>
      <c r="K67" s="4">
        <v>180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3" t="s">
        <v>26</v>
      </c>
      <c r="R67" s="3">
        <v>0</v>
      </c>
      <c r="S67" s="3" t="s">
        <v>147</v>
      </c>
      <c r="U67" s="3">
        <v>22</v>
      </c>
      <c r="V67" s="3">
        <v>0</v>
      </c>
      <c r="W67" s="3">
        <v>0</v>
      </c>
    </row>
    <row r="68" spans="1:23" ht="11.25" customHeight="1" x14ac:dyDescent="0.25">
      <c r="A68" s="3" t="s">
        <v>21</v>
      </c>
      <c r="B68" s="3" t="s">
        <v>35</v>
      </c>
      <c r="C68" s="3" t="s">
        <v>36</v>
      </c>
      <c r="D68" s="3" t="s">
        <v>39</v>
      </c>
      <c r="E68" s="3" t="s">
        <v>25</v>
      </c>
      <c r="F68" s="3" t="s">
        <v>25</v>
      </c>
      <c r="G68" s="3" t="s">
        <v>25</v>
      </c>
      <c r="H68" s="3" t="s">
        <v>25</v>
      </c>
      <c r="I68" s="6">
        <v>44652</v>
      </c>
      <c r="J68" s="4">
        <v>1413</v>
      </c>
      <c r="K68" s="4">
        <v>1413</v>
      </c>
      <c r="L68" s="4">
        <v>0</v>
      </c>
      <c r="M68" s="4">
        <v>0</v>
      </c>
      <c r="N68" s="4">
        <v>0</v>
      </c>
      <c r="O68" s="4">
        <v>0</v>
      </c>
      <c r="P68" s="4">
        <v>12</v>
      </c>
      <c r="Q68" s="3" t="s">
        <v>26</v>
      </c>
      <c r="R68" s="3">
        <v>0</v>
      </c>
      <c r="S68" s="3" t="s">
        <v>148</v>
      </c>
      <c r="U68" s="3">
        <v>22</v>
      </c>
      <c r="V68" s="3">
        <v>0</v>
      </c>
      <c r="W68" s="3">
        <v>0</v>
      </c>
    </row>
    <row r="69" spans="1:23" ht="11.25" customHeight="1" x14ac:dyDescent="0.25">
      <c r="A69" s="3" t="s">
        <v>28</v>
      </c>
      <c r="B69" s="3" t="s">
        <v>35</v>
      </c>
      <c r="C69" s="3" t="s">
        <v>36</v>
      </c>
      <c r="D69" s="3" t="s">
        <v>39</v>
      </c>
      <c r="E69" s="3" t="s">
        <v>25</v>
      </c>
      <c r="F69" s="3" t="s">
        <v>25</v>
      </c>
      <c r="G69" s="3" t="s">
        <v>25</v>
      </c>
      <c r="H69" s="3" t="s">
        <v>25</v>
      </c>
      <c r="I69" s="6">
        <v>44652</v>
      </c>
      <c r="J69" s="4">
        <v>180</v>
      </c>
      <c r="K69" s="4">
        <v>180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3" t="s">
        <v>26</v>
      </c>
      <c r="R69" s="3">
        <v>0</v>
      </c>
      <c r="S69" s="3" t="s">
        <v>148</v>
      </c>
      <c r="U69" s="3">
        <v>22</v>
      </c>
      <c r="V69" s="3">
        <v>0</v>
      </c>
      <c r="W69" s="3">
        <v>0</v>
      </c>
    </row>
    <row r="70" spans="1:23" ht="11.25" customHeight="1" x14ac:dyDescent="0.25">
      <c r="A70" s="3" t="s">
        <v>21</v>
      </c>
      <c r="B70" s="3" t="s">
        <v>35</v>
      </c>
      <c r="C70" s="3" t="s">
        <v>36</v>
      </c>
      <c r="D70" s="3" t="s">
        <v>39</v>
      </c>
      <c r="E70" s="3" t="s">
        <v>25</v>
      </c>
      <c r="F70" s="3" t="s">
        <v>25</v>
      </c>
      <c r="G70" s="3" t="s">
        <v>25</v>
      </c>
      <c r="H70" s="3" t="s">
        <v>25</v>
      </c>
      <c r="I70" s="6">
        <v>44682</v>
      </c>
      <c r="J70" s="4">
        <v>1443</v>
      </c>
      <c r="K70" s="4">
        <v>1443</v>
      </c>
      <c r="L70" s="4">
        <v>0</v>
      </c>
      <c r="M70" s="4">
        <v>0</v>
      </c>
      <c r="N70" s="4">
        <v>0</v>
      </c>
      <c r="O70" s="4">
        <v>0</v>
      </c>
      <c r="P70" s="4">
        <v>13</v>
      </c>
      <c r="Q70" s="3" t="s">
        <v>26</v>
      </c>
      <c r="R70" s="3">
        <v>0</v>
      </c>
      <c r="S70" s="3" t="s">
        <v>149</v>
      </c>
      <c r="U70" s="3">
        <v>22</v>
      </c>
      <c r="V70" s="3">
        <v>0</v>
      </c>
      <c r="W70" s="3">
        <v>0</v>
      </c>
    </row>
    <row r="71" spans="1:23" ht="11.25" customHeight="1" x14ac:dyDescent="0.25">
      <c r="A71" s="3" t="s">
        <v>28</v>
      </c>
      <c r="B71" s="3" t="s">
        <v>35</v>
      </c>
      <c r="C71" s="3" t="s">
        <v>36</v>
      </c>
      <c r="D71" s="3" t="s">
        <v>39</v>
      </c>
      <c r="E71" s="3" t="s">
        <v>25</v>
      </c>
      <c r="F71" s="3" t="s">
        <v>25</v>
      </c>
      <c r="G71" s="3" t="s">
        <v>25</v>
      </c>
      <c r="H71" s="3" t="s">
        <v>25</v>
      </c>
      <c r="I71" s="6">
        <v>44682</v>
      </c>
      <c r="J71" s="4">
        <v>180</v>
      </c>
      <c r="K71" s="4">
        <v>180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3" t="s">
        <v>26</v>
      </c>
      <c r="R71" s="3">
        <v>0</v>
      </c>
      <c r="S71" s="3" t="s">
        <v>149</v>
      </c>
      <c r="U71" s="3">
        <v>22</v>
      </c>
      <c r="V71" s="3">
        <v>0</v>
      </c>
      <c r="W71" s="3">
        <v>0</v>
      </c>
    </row>
    <row r="72" spans="1:23" ht="11.25" customHeight="1" x14ac:dyDescent="0.25">
      <c r="A72" s="3" t="s">
        <v>21</v>
      </c>
      <c r="B72" s="3" t="s">
        <v>35</v>
      </c>
      <c r="C72" s="3" t="s">
        <v>36</v>
      </c>
      <c r="D72" s="3" t="s">
        <v>39</v>
      </c>
      <c r="E72" s="3" t="s">
        <v>25</v>
      </c>
      <c r="F72" s="3" t="s">
        <v>25</v>
      </c>
      <c r="G72" s="3" t="s">
        <v>25</v>
      </c>
      <c r="H72" s="3" t="s">
        <v>25</v>
      </c>
      <c r="I72" s="6">
        <v>44713</v>
      </c>
      <c r="J72" s="4">
        <v>1264</v>
      </c>
      <c r="K72" s="4">
        <v>1264</v>
      </c>
      <c r="L72" s="4">
        <v>0</v>
      </c>
      <c r="M72" s="4">
        <v>0</v>
      </c>
      <c r="N72" s="4">
        <v>0</v>
      </c>
      <c r="O72" s="4">
        <v>0</v>
      </c>
      <c r="P72" s="4">
        <v>13</v>
      </c>
      <c r="Q72" s="3" t="s">
        <v>26</v>
      </c>
      <c r="R72" s="3">
        <v>0</v>
      </c>
      <c r="S72" s="3" t="s">
        <v>150</v>
      </c>
      <c r="U72" s="3">
        <v>22</v>
      </c>
      <c r="V72" s="3">
        <v>0</v>
      </c>
      <c r="W72" s="3">
        <v>0</v>
      </c>
    </row>
    <row r="73" spans="1:23" ht="11.25" customHeight="1" x14ac:dyDescent="0.25">
      <c r="A73" s="3" t="s">
        <v>28</v>
      </c>
      <c r="B73" s="3" t="s">
        <v>35</v>
      </c>
      <c r="C73" s="3" t="s">
        <v>36</v>
      </c>
      <c r="D73" s="3" t="s">
        <v>39</v>
      </c>
      <c r="E73" s="3" t="s">
        <v>25</v>
      </c>
      <c r="F73" s="3" t="s">
        <v>25</v>
      </c>
      <c r="G73" s="3" t="s">
        <v>25</v>
      </c>
      <c r="H73" s="3" t="s">
        <v>25</v>
      </c>
      <c r="I73" s="6">
        <v>44713</v>
      </c>
      <c r="J73" s="4">
        <v>330</v>
      </c>
      <c r="K73" s="4">
        <v>330</v>
      </c>
      <c r="L73" s="4">
        <v>0</v>
      </c>
      <c r="M73" s="4">
        <v>0</v>
      </c>
      <c r="N73" s="4">
        <v>0</v>
      </c>
      <c r="O73" s="4">
        <v>0</v>
      </c>
      <c r="P73" s="4">
        <v>2</v>
      </c>
      <c r="Q73" s="3" t="s">
        <v>26</v>
      </c>
      <c r="R73" s="3">
        <v>0</v>
      </c>
      <c r="S73" s="3" t="s">
        <v>150</v>
      </c>
      <c r="U73" s="3">
        <v>22</v>
      </c>
      <c r="V73" s="3">
        <v>0</v>
      </c>
      <c r="W73" s="3">
        <v>0</v>
      </c>
    </row>
    <row r="74" spans="1:23" ht="11.25" customHeight="1" x14ac:dyDescent="0.25">
      <c r="A74" s="3" t="s">
        <v>21</v>
      </c>
      <c r="B74" s="3" t="s">
        <v>35</v>
      </c>
      <c r="C74" s="3" t="s">
        <v>36</v>
      </c>
      <c r="D74" s="3" t="s">
        <v>39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44743</v>
      </c>
      <c r="J74" s="4">
        <v>1348</v>
      </c>
      <c r="K74" s="4">
        <v>1348</v>
      </c>
      <c r="L74" s="4">
        <v>0</v>
      </c>
      <c r="M74" s="4">
        <v>0</v>
      </c>
      <c r="N74" s="4">
        <v>0</v>
      </c>
      <c r="O74" s="4">
        <v>0</v>
      </c>
      <c r="P74" s="4">
        <v>13</v>
      </c>
      <c r="Q74" s="3" t="s">
        <v>26</v>
      </c>
      <c r="R74" s="3">
        <v>0</v>
      </c>
      <c r="S74" s="3" t="s">
        <v>151</v>
      </c>
      <c r="U74" s="3">
        <v>22</v>
      </c>
      <c r="V74" s="3">
        <v>0</v>
      </c>
      <c r="W74" s="3">
        <v>0</v>
      </c>
    </row>
    <row r="75" spans="1:23" ht="11.25" customHeight="1" x14ac:dyDescent="0.25">
      <c r="A75" s="3" t="s">
        <v>28</v>
      </c>
      <c r="B75" s="3" t="s">
        <v>35</v>
      </c>
      <c r="C75" s="3" t="s">
        <v>36</v>
      </c>
      <c r="D75" s="3" t="s">
        <v>39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44743</v>
      </c>
      <c r="J75" s="4">
        <v>330</v>
      </c>
      <c r="K75" s="4">
        <v>330</v>
      </c>
      <c r="L75" s="4">
        <v>0</v>
      </c>
      <c r="M75" s="4">
        <v>0</v>
      </c>
      <c r="N75" s="4">
        <v>0</v>
      </c>
      <c r="O75" s="4">
        <v>0</v>
      </c>
      <c r="P75" s="4">
        <v>2</v>
      </c>
      <c r="Q75" s="3" t="s">
        <v>26</v>
      </c>
      <c r="R75" s="3">
        <v>0</v>
      </c>
      <c r="S75" s="3" t="s">
        <v>151</v>
      </c>
      <c r="U75" s="3">
        <v>22</v>
      </c>
      <c r="V75" s="3">
        <v>0</v>
      </c>
      <c r="W75" s="3">
        <v>0</v>
      </c>
    </row>
    <row r="76" spans="1:23" ht="11.25" customHeight="1" x14ac:dyDescent="0.25">
      <c r="A76" s="3" t="s">
        <v>21</v>
      </c>
      <c r="B76" s="3" t="s">
        <v>35</v>
      </c>
      <c r="C76" s="3" t="s">
        <v>36</v>
      </c>
      <c r="D76" s="3" t="s">
        <v>39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44774</v>
      </c>
      <c r="J76" s="4">
        <v>1418</v>
      </c>
      <c r="K76" s="4">
        <v>1418</v>
      </c>
      <c r="L76" s="4">
        <v>0</v>
      </c>
      <c r="M76" s="4">
        <v>0</v>
      </c>
      <c r="N76" s="4">
        <v>0</v>
      </c>
      <c r="O76" s="4">
        <v>0</v>
      </c>
      <c r="P76" s="4">
        <v>13</v>
      </c>
      <c r="Q76" s="3" t="s">
        <v>26</v>
      </c>
      <c r="R76" s="3">
        <v>0</v>
      </c>
      <c r="S76" s="3" t="s">
        <v>152</v>
      </c>
      <c r="U76" s="3">
        <v>22</v>
      </c>
      <c r="V76" s="3">
        <v>0</v>
      </c>
      <c r="W76" s="3">
        <v>0</v>
      </c>
    </row>
    <row r="77" spans="1:23" ht="11.25" customHeight="1" x14ac:dyDescent="0.25">
      <c r="A77" s="3" t="s">
        <v>28</v>
      </c>
      <c r="B77" s="3" t="s">
        <v>35</v>
      </c>
      <c r="C77" s="3" t="s">
        <v>36</v>
      </c>
      <c r="D77" s="3" t="s">
        <v>39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44774</v>
      </c>
      <c r="J77" s="4">
        <v>330</v>
      </c>
      <c r="K77" s="4">
        <v>330</v>
      </c>
      <c r="L77" s="4">
        <v>0</v>
      </c>
      <c r="M77" s="4">
        <v>0</v>
      </c>
      <c r="N77" s="4">
        <v>0</v>
      </c>
      <c r="O77" s="4">
        <v>0</v>
      </c>
      <c r="P77" s="4">
        <v>2</v>
      </c>
      <c r="Q77" s="3" t="s">
        <v>26</v>
      </c>
      <c r="R77" s="3">
        <v>0</v>
      </c>
      <c r="S77" s="3" t="s">
        <v>152</v>
      </c>
      <c r="U77" s="3">
        <v>22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35</v>
      </c>
      <c r="C78" s="3" t="s">
        <v>36</v>
      </c>
      <c r="D78" s="3" t="s">
        <v>39</v>
      </c>
      <c r="E78" s="3" t="s">
        <v>25</v>
      </c>
      <c r="F78" s="3" t="s">
        <v>25</v>
      </c>
      <c r="G78" s="3" t="s">
        <v>25</v>
      </c>
      <c r="H78" s="3" t="s">
        <v>37</v>
      </c>
      <c r="I78" s="6">
        <v>44440</v>
      </c>
      <c r="J78" s="4">
        <v>0</v>
      </c>
      <c r="K78" s="4">
        <v>0</v>
      </c>
      <c r="L78" s="4">
        <v>15.021000000000001</v>
      </c>
      <c r="M78" s="4">
        <v>15.021000000000001</v>
      </c>
      <c r="N78" s="4">
        <v>15.021000000000001</v>
      </c>
      <c r="O78" s="4">
        <v>15.021000000000001</v>
      </c>
      <c r="P78" s="4">
        <v>0</v>
      </c>
      <c r="Q78" s="3" t="s">
        <v>26</v>
      </c>
      <c r="R78" s="3">
        <v>0</v>
      </c>
      <c r="S78" s="3" t="s">
        <v>153</v>
      </c>
      <c r="T78" s="3" t="s">
        <v>290</v>
      </c>
      <c r="U78" s="3">
        <v>0</v>
      </c>
      <c r="V78" s="3">
        <v>33</v>
      </c>
      <c r="W78" s="3">
        <v>51</v>
      </c>
    </row>
    <row r="79" spans="1:23" ht="11.25" customHeight="1" x14ac:dyDescent="0.25">
      <c r="A79" s="3" t="s">
        <v>21</v>
      </c>
      <c r="B79" s="3" t="s">
        <v>35</v>
      </c>
      <c r="C79" s="3" t="s">
        <v>36</v>
      </c>
      <c r="D79" s="3" t="s">
        <v>39</v>
      </c>
      <c r="E79" s="3" t="s">
        <v>25</v>
      </c>
      <c r="F79" s="3" t="s">
        <v>25</v>
      </c>
      <c r="G79" s="3" t="s">
        <v>25</v>
      </c>
      <c r="H79" s="3" t="s">
        <v>37</v>
      </c>
      <c r="I79" s="6">
        <v>44470</v>
      </c>
      <c r="J79" s="4">
        <v>0</v>
      </c>
      <c r="K79" s="4">
        <v>0</v>
      </c>
      <c r="L79" s="4">
        <v>13.276999999999999</v>
      </c>
      <c r="M79" s="4">
        <v>13.276999999999999</v>
      </c>
      <c r="N79" s="4">
        <v>13.276999999999999</v>
      </c>
      <c r="O79" s="4">
        <v>13.276999999999999</v>
      </c>
      <c r="P79" s="4">
        <v>0</v>
      </c>
      <c r="Q79" s="3" t="s">
        <v>26</v>
      </c>
      <c r="R79" s="3">
        <v>0</v>
      </c>
      <c r="S79" s="3" t="s">
        <v>154</v>
      </c>
      <c r="T79" s="3" t="s">
        <v>291</v>
      </c>
      <c r="U79" s="3">
        <v>0</v>
      </c>
      <c r="V79" s="3">
        <v>33</v>
      </c>
      <c r="W79" s="3">
        <v>51</v>
      </c>
    </row>
    <row r="80" spans="1:23" ht="11.25" customHeight="1" x14ac:dyDescent="0.25">
      <c r="A80" s="3" t="s">
        <v>21</v>
      </c>
      <c r="B80" s="3" t="s">
        <v>35</v>
      </c>
      <c r="C80" s="3" t="s">
        <v>36</v>
      </c>
      <c r="D80" s="3" t="s">
        <v>39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44501</v>
      </c>
      <c r="J80" s="4">
        <v>0</v>
      </c>
      <c r="K80" s="4">
        <v>0</v>
      </c>
      <c r="L80" s="4">
        <v>13.112</v>
      </c>
      <c r="M80" s="4">
        <v>13.112</v>
      </c>
      <c r="N80" s="4">
        <v>13.112</v>
      </c>
      <c r="O80" s="4">
        <v>13.112</v>
      </c>
      <c r="P80" s="4">
        <v>0</v>
      </c>
      <c r="Q80" s="3" t="s">
        <v>26</v>
      </c>
      <c r="R80" s="3">
        <v>0</v>
      </c>
      <c r="S80" s="3" t="s">
        <v>155</v>
      </c>
      <c r="T80" s="3" t="s">
        <v>292</v>
      </c>
      <c r="U80" s="3">
        <v>0</v>
      </c>
      <c r="V80" s="3">
        <v>33</v>
      </c>
      <c r="W80" s="3">
        <v>51</v>
      </c>
    </row>
    <row r="81" spans="1:23" ht="11.25" customHeight="1" x14ac:dyDescent="0.25">
      <c r="A81" s="3" t="s">
        <v>21</v>
      </c>
      <c r="B81" s="3" t="s">
        <v>35</v>
      </c>
      <c r="C81" s="3" t="s">
        <v>36</v>
      </c>
      <c r="D81" s="3" t="s">
        <v>39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44531</v>
      </c>
      <c r="J81" s="4">
        <v>0</v>
      </c>
      <c r="K81" s="4">
        <v>0</v>
      </c>
      <c r="L81" s="4">
        <v>14.544</v>
      </c>
      <c r="M81" s="4">
        <v>14.544</v>
      </c>
      <c r="N81" s="4">
        <v>14.544</v>
      </c>
      <c r="O81" s="4">
        <v>14.544</v>
      </c>
      <c r="P81" s="4">
        <v>0</v>
      </c>
      <c r="Q81" s="3" t="s">
        <v>26</v>
      </c>
      <c r="R81" s="3">
        <v>0</v>
      </c>
      <c r="S81" s="3" t="s">
        <v>156</v>
      </c>
      <c r="T81" s="3" t="s">
        <v>293</v>
      </c>
      <c r="U81" s="3">
        <v>0</v>
      </c>
      <c r="V81" s="3">
        <v>33</v>
      </c>
      <c r="W81" s="3">
        <v>51</v>
      </c>
    </row>
    <row r="82" spans="1:23" ht="11.25" customHeight="1" x14ac:dyDescent="0.25">
      <c r="A82" s="3" t="s">
        <v>21</v>
      </c>
      <c r="B82" s="3" t="s">
        <v>35</v>
      </c>
      <c r="C82" s="3" t="s">
        <v>36</v>
      </c>
      <c r="D82" s="3" t="s">
        <v>39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44562</v>
      </c>
      <c r="J82" s="4">
        <v>0</v>
      </c>
      <c r="K82" s="4">
        <v>0</v>
      </c>
      <c r="L82" s="4">
        <v>13.667999999999999</v>
      </c>
      <c r="M82" s="4">
        <v>13.667999999999999</v>
      </c>
      <c r="N82" s="4">
        <v>13.667999999999999</v>
      </c>
      <c r="O82" s="4">
        <v>13.667999999999999</v>
      </c>
      <c r="P82" s="4">
        <v>0</v>
      </c>
      <c r="Q82" s="3" t="s">
        <v>26</v>
      </c>
      <c r="R82" s="3">
        <v>0</v>
      </c>
      <c r="S82" s="3" t="s">
        <v>157</v>
      </c>
      <c r="T82" s="3" t="s">
        <v>294</v>
      </c>
      <c r="U82" s="3">
        <v>0</v>
      </c>
      <c r="V82" s="3">
        <v>33</v>
      </c>
      <c r="W82" s="3">
        <v>51</v>
      </c>
    </row>
    <row r="83" spans="1:23" ht="11.25" customHeight="1" x14ac:dyDescent="0.25">
      <c r="A83" s="3" t="s">
        <v>21</v>
      </c>
      <c r="B83" s="3" t="s">
        <v>35</v>
      </c>
      <c r="C83" s="3" t="s">
        <v>36</v>
      </c>
      <c r="D83" s="3" t="s">
        <v>39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44593</v>
      </c>
      <c r="J83" s="4">
        <v>0</v>
      </c>
      <c r="K83" s="4">
        <v>0</v>
      </c>
      <c r="L83" s="4">
        <v>14.003</v>
      </c>
      <c r="M83" s="4">
        <v>14.003</v>
      </c>
      <c r="N83" s="4">
        <v>14.003</v>
      </c>
      <c r="O83" s="4">
        <v>14.003</v>
      </c>
      <c r="P83" s="4">
        <v>0</v>
      </c>
      <c r="Q83" s="3" t="s">
        <v>26</v>
      </c>
      <c r="R83" s="3">
        <v>0</v>
      </c>
      <c r="S83" s="3" t="s">
        <v>158</v>
      </c>
      <c r="T83" s="3" t="s">
        <v>295</v>
      </c>
      <c r="U83" s="3">
        <v>0</v>
      </c>
      <c r="V83" s="3">
        <v>33</v>
      </c>
      <c r="W83" s="3">
        <v>51</v>
      </c>
    </row>
    <row r="84" spans="1:23" ht="11.25" customHeight="1" x14ac:dyDescent="0.25">
      <c r="A84" s="3" t="s">
        <v>21</v>
      </c>
      <c r="B84" s="3" t="s">
        <v>35</v>
      </c>
      <c r="C84" s="3" t="s">
        <v>36</v>
      </c>
      <c r="D84" s="3" t="s">
        <v>39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44621</v>
      </c>
      <c r="J84" s="4">
        <v>0</v>
      </c>
      <c r="K84" s="4">
        <v>0</v>
      </c>
      <c r="L84" s="4">
        <v>18.274000000000001</v>
      </c>
      <c r="M84" s="4">
        <v>18.274000000000001</v>
      </c>
      <c r="N84" s="4">
        <v>18.274000000000001</v>
      </c>
      <c r="O84" s="4">
        <v>18.274000000000001</v>
      </c>
      <c r="P84" s="4">
        <v>0</v>
      </c>
      <c r="Q84" s="3" t="s">
        <v>26</v>
      </c>
      <c r="R84" s="3">
        <v>0</v>
      </c>
      <c r="S84" s="3" t="s">
        <v>159</v>
      </c>
      <c r="T84" s="3" t="s">
        <v>296</v>
      </c>
      <c r="U84" s="3">
        <v>0</v>
      </c>
      <c r="V84" s="3">
        <v>33</v>
      </c>
      <c r="W84" s="3">
        <v>51</v>
      </c>
    </row>
    <row r="85" spans="1:23" ht="11.25" customHeight="1" x14ac:dyDescent="0.25">
      <c r="A85" s="3" t="s">
        <v>21</v>
      </c>
      <c r="B85" s="3" t="s">
        <v>35</v>
      </c>
      <c r="C85" s="3" t="s">
        <v>36</v>
      </c>
      <c r="D85" s="3" t="s">
        <v>39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44652</v>
      </c>
      <c r="J85" s="4">
        <v>0</v>
      </c>
      <c r="K85" s="4">
        <v>0</v>
      </c>
      <c r="L85" s="4">
        <v>13.189</v>
      </c>
      <c r="M85" s="4">
        <v>13.189</v>
      </c>
      <c r="N85" s="4">
        <v>13.189</v>
      </c>
      <c r="O85" s="4">
        <v>13.189</v>
      </c>
      <c r="P85" s="4">
        <v>0</v>
      </c>
      <c r="Q85" s="3" t="s">
        <v>26</v>
      </c>
      <c r="R85" s="3">
        <v>0</v>
      </c>
      <c r="S85" s="3" t="s">
        <v>160</v>
      </c>
      <c r="T85" s="3" t="s">
        <v>297</v>
      </c>
      <c r="U85" s="3">
        <v>0</v>
      </c>
      <c r="V85" s="3">
        <v>33</v>
      </c>
      <c r="W85" s="3">
        <v>51</v>
      </c>
    </row>
    <row r="86" spans="1:23" ht="11.25" customHeight="1" x14ac:dyDescent="0.25">
      <c r="A86" s="3" t="s">
        <v>21</v>
      </c>
      <c r="B86" s="3" t="s">
        <v>35</v>
      </c>
      <c r="C86" s="3" t="s">
        <v>36</v>
      </c>
      <c r="D86" s="3" t="s">
        <v>39</v>
      </c>
      <c r="E86" s="3" t="s">
        <v>25</v>
      </c>
      <c r="F86" s="3" t="s">
        <v>25</v>
      </c>
      <c r="G86" s="3" t="s">
        <v>25</v>
      </c>
      <c r="H86" s="3" t="s">
        <v>37</v>
      </c>
      <c r="I86" s="6">
        <v>44682</v>
      </c>
      <c r="J86" s="4">
        <v>0</v>
      </c>
      <c r="K86" s="4">
        <v>0</v>
      </c>
      <c r="L86" s="4">
        <v>17.379000000000001</v>
      </c>
      <c r="M86" s="4">
        <v>17.379000000000001</v>
      </c>
      <c r="N86" s="4">
        <v>17.379000000000001</v>
      </c>
      <c r="O86" s="4">
        <v>17.379000000000001</v>
      </c>
      <c r="P86" s="4">
        <v>0</v>
      </c>
      <c r="Q86" s="3" t="s">
        <v>26</v>
      </c>
      <c r="R86" s="3">
        <v>0</v>
      </c>
      <c r="S86" s="3" t="s">
        <v>161</v>
      </c>
      <c r="T86" s="3" t="s">
        <v>298</v>
      </c>
      <c r="U86" s="3">
        <v>0</v>
      </c>
      <c r="V86" s="3">
        <v>33</v>
      </c>
      <c r="W86" s="3">
        <v>51</v>
      </c>
    </row>
    <row r="87" spans="1:23" ht="11.25" customHeight="1" x14ac:dyDescent="0.25">
      <c r="A87" s="3" t="s">
        <v>21</v>
      </c>
      <c r="B87" s="3" t="s">
        <v>35</v>
      </c>
      <c r="C87" s="3" t="s">
        <v>36</v>
      </c>
      <c r="D87" s="3" t="s">
        <v>39</v>
      </c>
      <c r="E87" s="3" t="s">
        <v>25</v>
      </c>
      <c r="F87" s="3" t="s">
        <v>25</v>
      </c>
      <c r="G87" s="3" t="s">
        <v>25</v>
      </c>
      <c r="H87" s="3" t="s">
        <v>37</v>
      </c>
      <c r="I87" s="6">
        <v>44713</v>
      </c>
      <c r="J87" s="4">
        <v>0</v>
      </c>
      <c r="K87" s="4">
        <v>0</v>
      </c>
      <c r="L87" s="4">
        <v>6.5350000000000001</v>
      </c>
      <c r="M87" s="4">
        <v>6.5350000000000001</v>
      </c>
      <c r="N87" s="4">
        <v>6.5350000000000001</v>
      </c>
      <c r="O87" s="4">
        <v>6.5350000000000001</v>
      </c>
      <c r="P87" s="4">
        <v>0</v>
      </c>
      <c r="Q87" s="3" t="s">
        <v>26</v>
      </c>
      <c r="R87" s="3">
        <v>0</v>
      </c>
      <c r="S87" s="3" t="s">
        <v>162</v>
      </c>
      <c r="T87" s="3" t="s">
        <v>299</v>
      </c>
      <c r="U87" s="3">
        <v>0</v>
      </c>
      <c r="V87" s="3">
        <v>33</v>
      </c>
      <c r="W87" s="3">
        <v>51</v>
      </c>
    </row>
    <row r="88" spans="1:23" ht="11.25" customHeight="1" x14ac:dyDescent="0.25">
      <c r="A88" s="3" t="s">
        <v>28</v>
      </c>
      <c r="B88" s="3" t="s">
        <v>35</v>
      </c>
      <c r="C88" s="3" t="s">
        <v>36</v>
      </c>
      <c r="D88" s="3" t="s">
        <v>39</v>
      </c>
      <c r="E88" s="3" t="s">
        <v>25</v>
      </c>
      <c r="F88" s="3" t="s">
        <v>25</v>
      </c>
      <c r="G88" s="3" t="s">
        <v>25</v>
      </c>
      <c r="H88" s="3" t="s">
        <v>37</v>
      </c>
      <c r="I88" s="6">
        <v>44713</v>
      </c>
      <c r="J88" s="4">
        <v>0</v>
      </c>
      <c r="K88" s="4">
        <v>0</v>
      </c>
      <c r="L88" s="4">
        <v>6.15</v>
      </c>
      <c r="M88" s="4">
        <v>6.15</v>
      </c>
      <c r="N88" s="4">
        <v>6.15</v>
      </c>
      <c r="O88" s="4">
        <v>6.15</v>
      </c>
      <c r="P88" s="4">
        <v>0</v>
      </c>
      <c r="Q88" s="3" t="s">
        <v>26</v>
      </c>
      <c r="R88" s="3">
        <v>0</v>
      </c>
      <c r="S88" s="3" t="s">
        <v>162</v>
      </c>
      <c r="T88" s="3" t="s">
        <v>299</v>
      </c>
      <c r="U88" s="3">
        <v>0</v>
      </c>
      <c r="V88" s="3">
        <v>33</v>
      </c>
      <c r="W88" s="3">
        <v>51</v>
      </c>
    </row>
    <row r="89" spans="1:23" ht="11.25" customHeight="1" x14ac:dyDescent="0.25">
      <c r="A89" s="3" t="s">
        <v>21</v>
      </c>
      <c r="B89" s="3" t="s">
        <v>35</v>
      </c>
      <c r="C89" s="3" t="s">
        <v>36</v>
      </c>
      <c r="D89" s="3" t="s">
        <v>39</v>
      </c>
      <c r="E89" s="3" t="s">
        <v>25</v>
      </c>
      <c r="F89" s="3" t="s">
        <v>25</v>
      </c>
      <c r="G89" s="3" t="s">
        <v>25</v>
      </c>
      <c r="H89" s="3" t="s">
        <v>37</v>
      </c>
      <c r="I89" s="6">
        <v>44743</v>
      </c>
      <c r="J89" s="4">
        <v>0</v>
      </c>
      <c r="K89" s="4">
        <v>0</v>
      </c>
      <c r="L89" s="4">
        <v>8.6159999999999997</v>
      </c>
      <c r="M89" s="4">
        <v>8.6159999999999997</v>
      </c>
      <c r="N89" s="4">
        <v>8.6159999999999997</v>
      </c>
      <c r="O89" s="4">
        <v>8.6159999999999997</v>
      </c>
      <c r="P89" s="4">
        <v>0</v>
      </c>
      <c r="Q89" s="3" t="s">
        <v>26</v>
      </c>
      <c r="R89" s="3">
        <v>0</v>
      </c>
      <c r="S89" s="3" t="s">
        <v>163</v>
      </c>
      <c r="T89" s="3" t="s">
        <v>300</v>
      </c>
      <c r="U89" s="3">
        <v>0</v>
      </c>
      <c r="V89" s="3">
        <v>33</v>
      </c>
      <c r="W89" s="3">
        <v>51</v>
      </c>
    </row>
    <row r="90" spans="1:23" ht="11.25" customHeight="1" x14ac:dyDescent="0.25">
      <c r="A90" s="3" t="s">
        <v>28</v>
      </c>
      <c r="B90" s="3" t="s">
        <v>35</v>
      </c>
      <c r="C90" s="3" t="s">
        <v>36</v>
      </c>
      <c r="D90" s="3" t="s">
        <v>39</v>
      </c>
      <c r="E90" s="3" t="s">
        <v>25</v>
      </c>
      <c r="F90" s="3" t="s">
        <v>25</v>
      </c>
      <c r="G90" s="3" t="s">
        <v>25</v>
      </c>
      <c r="H90" s="3" t="s">
        <v>37</v>
      </c>
      <c r="I90" s="6">
        <v>44743</v>
      </c>
      <c r="J90" s="4">
        <v>0</v>
      </c>
      <c r="K90" s="4">
        <v>0</v>
      </c>
      <c r="L90" s="4">
        <v>6.3049999999999997</v>
      </c>
      <c r="M90" s="4">
        <v>6.3049999999999997</v>
      </c>
      <c r="N90" s="4">
        <v>6.3049999999999997</v>
      </c>
      <c r="O90" s="4">
        <v>6.3049999999999997</v>
      </c>
      <c r="P90" s="4">
        <v>0</v>
      </c>
      <c r="Q90" s="3" t="s">
        <v>26</v>
      </c>
      <c r="R90" s="3">
        <v>0</v>
      </c>
      <c r="S90" s="3" t="s">
        <v>163</v>
      </c>
      <c r="T90" s="3" t="s">
        <v>300</v>
      </c>
      <c r="U90" s="3">
        <v>0</v>
      </c>
      <c r="V90" s="3">
        <v>33</v>
      </c>
      <c r="W90" s="3">
        <v>51</v>
      </c>
    </row>
    <row r="91" spans="1:23" ht="11.25" customHeight="1" x14ac:dyDescent="0.25">
      <c r="A91" s="3" t="s">
        <v>21</v>
      </c>
      <c r="B91" s="3" t="s">
        <v>35</v>
      </c>
      <c r="C91" s="3" t="s">
        <v>36</v>
      </c>
      <c r="D91" s="3" t="s">
        <v>39</v>
      </c>
      <c r="E91" s="3" t="s">
        <v>25</v>
      </c>
      <c r="F91" s="3" t="s">
        <v>25</v>
      </c>
      <c r="G91" s="3" t="s">
        <v>25</v>
      </c>
      <c r="H91" s="3" t="s">
        <v>37</v>
      </c>
      <c r="I91" s="6">
        <v>44774</v>
      </c>
      <c r="J91" s="4">
        <v>0</v>
      </c>
      <c r="K91" s="4">
        <v>0</v>
      </c>
      <c r="L91" s="4">
        <v>10.728</v>
      </c>
      <c r="M91" s="4">
        <v>10.728</v>
      </c>
      <c r="N91" s="4">
        <v>10.728</v>
      </c>
      <c r="O91" s="4">
        <v>10.728</v>
      </c>
      <c r="P91" s="4">
        <v>0</v>
      </c>
      <c r="Q91" s="3" t="s">
        <v>26</v>
      </c>
      <c r="R91" s="3">
        <v>0</v>
      </c>
      <c r="S91" s="3" t="s">
        <v>164</v>
      </c>
      <c r="T91" s="3" t="s">
        <v>301</v>
      </c>
      <c r="U91" s="3">
        <v>0</v>
      </c>
      <c r="V91" s="3">
        <v>33</v>
      </c>
      <c r="W91" s="3">
        <v>51</v>
      </c>
    </row>
    <row r="92" spans="1:23" ht="11.25" customHeight="1" x14ac:dyDescent="0.25">
      <c r="A92" s="3" t="s">
        <v>28</v>
      </c>
      <c r="B92" s="3" t="s">
        <v>35</v>
      </c>
      <c r="C92" s="3" t="s">
        <v>36</v>
      </c>
      <c r="D92" s="3" t="s">
        <v>39</v>
      </c>
      <c r="E92" s="3" t="s">
        <v>25</v>
      </c>
      <c r="F92" s="3" t="s">
        <v>25</v>
      </c>
      <c r="G92" s="3" t="s">
        <v>25</v>
      </c>
      <c r="H92" s="3" t="s">
        <v>37</v>
      </c>
      <c r="I92" s="6">
        <v>44774</v>
      </c>
      <c r="J92" s="4">
        <v>0</v>
      </c>
      <c r="K92" s="4">
        <v>0</v>
      </c>
      <c r="L92" s="4">
        <v>6.524</v>
      </c>
      <c r="M92" s="4">
        <v>6.524</v>
      </c>
      <c r="N92" s="4">
        <v>6.524</v>
      </c>
      <c r="O92" s="4">
        <v>6.524</v>
      </c>
      <c r="P92" s="4">
        <v>0</v>
      </c>
      <c r="Q92" s="3" t="s">
        <v>26</v>
      </c>
      <c r="R92" s="3">
        <v>0</v>
      </c>
      <c r="S92" s="3" t="s">
        <v>164</v>
      </c>
      <c r="T92" s="3" t="s">
        <v>301</v>
      </c>
      <c r="U92" s="3">
        <v>0</v>
      </c>
      <c r="V92" s="3">
        <v>33</v>
      </c>
      <c r="W92" s="3">
        <v>51</v>
      </c>
    </row>
    <row r="93" spans="1:23" ht="11.25" customHeight="1" x14ac:dyDescent="0.25">
      <c r="A93" s="3" t="s">
        <v>21</v>
      </c>
      <c r="B93" s="3" t="s">
        <v>35</v>
      </c>
      <c r="C93" s="3" t="s">
        <v>36</v>
      </c>
      <c r="D93" s="3" t="s">
        <v>34</v>
      </c>
      <c r="E93" s="3" t="s">
        <v>25</v>
      </c>
      <c r="F93" s="3" t="s">
        <v>55</v>
      </c>
      <c r="G93" s="3" t="s">
        <v>25</v>
      </c>
      <c r="H93" s="3" t="s">
        <v>38</v>
      </c>
      <c r="I93" s="6">
        <v>44440</v>
      </c>
      <c r="J93" s="4">
        <v>0</v>
      </c>
      <c r="K93" s="4">
        <v>0</v>
      </c>
      <c r="L93" s="4">
        <v>257.48399999999998</v>
      </c>
      <c r="M93" s="4">
        <v>257.48399999999998</v>
      </c>
      <c r="N93" s="4">
        <v>0</v>
      </c>
      <c r="O93" s="4">
        <v>0</v>
      </c>
      <c r="P93" s="4">
        <v>0</v>
      </c>
      <c r="Q93" s="3" t="s">
        <v>56</v>
      </c>
      <c r="R93" s="3">
        <v>0</v>
      </c>
      <c r="S93" s="3" t="s">
        <v>129</v>
      </c>
      <c r="U93" s="3">
        <v>0</v>
      </c>
      <c r="V93" s="3">
        <v>15</v>
      </c>
      <c r="W93" s="3">
        <v>0</v>
      </c>
    </row>
    <row r="94" spans="1:23" ht="11.25" customHeight="1" x14ac:dyDescent="0.25">
      <c r="A94" s="3" t="s">
        <v>21</v>
      </c>
      <c r="B94" s="3" t="s">
        <v>35</v>
      </c>
      <c r="C94" s="3" t="s">
        <v>36</v>
      </c>
      <c r="D94" s="3" t="s">
        <v>34</v>
      </c>
      <c r="E94" s="3" t="s">
        <v>25</v>
      </c>
      <c r="F94" s="3" t="s">
        <v>55</v>
      </c>
      <c r="G94" s="3" t="s">
        <v>25</v>
      </c>
      <c r="H94" s="3" t="s">
        <v>38</v>
      </c>
      <c r="I94" s="6">
        <v>44470</v>
      </c>
      <c r="J94" s="4">
        <v>0</v>
      </c>
      <c r="K94" s="4">
        <v>0</v>
      </c>
      <c r="L94" s="4">
        <v>278.851</v>
      </c>
      <c r="M94" s="4">
        <v>278.851</v>
      </c>
      <c r="N94" s="4">
        <v>0</v>
      </c>
      <c r="O94" s="4">
        <v>0</v>
      </c>
      <c r="P94" s="4">
        <v>0</v>
      </c>
      <c r="Q94" s="3" t="s">
        <v>56</v>
      </c>
      <c r="R94" s="3">
        <v>0</v>
      </c>
      <c r="S94" s="3" t="s">
        <v>130</v>
      </c>
      <c r="U94" s="3">
        <v>0</v>
      </c>
      <c r="V94" s="3">
        <v>15</v>
      </c>
      <c r="W94" s="3">
        <v>0</v>
      </c>
    </row>
    <row r="95" spans="1:23" ht="11.25" customHeight="1" x14ac:dyDescent="0.25">
      <c r="A95" s="3" t="s">
        <v>21</v>
      </c>
      <c r="B95" s="3" t="s">
        <v>35</v>
      </c>
      <c r="C95" s="3" t="s">
        <v>36</v>
      </c>
      <c r="D95" s="3" t="s">
        <v>34</v>
      </c>
      <c r="E95" s="3" t="s">
        <v>25</v>
      </c>
      <c r="F95" s="3" t="s">
        <v>55</v>
      </c>
      <c r="G95" s="3" t="s">
        <v>25</v>
      </c>
      <c r="H95" s="3" t="s">
        <v>38</v>
      </c>
      <c r="I95" s="6">
        <v>44501</v>
      </c>
      <c r="J95" s="4">
        <v>0</v>
      </c>
      <c r="K95" s="4">
        <v>0</v>
      </c>
      <c r="L95" s="4">
        <v>274.83199999999999</v>
      </c>
      <c r="M95" s="4">
        <v>274.83199999999999</v>
      </c>
      <c r="N95" s="4">
        <v>0</v>
      </c>
      <c r="O95" s="4">
        <v>0</v>
      </c>
      <c r="P95" s="4">
        <v>0</v>
      </c>
      <c r="Q95" s="3" t="s">
        <v>56</v>
      </c>
      <c r="R95" s="3">
        <v>0</v>
      </c>
      <c r="S95" s="3" t="s">
        <v>131</v>
      </c>
      <c r="U95" s="3">
        <v>0</v>
      </c>
      <c r="V95" s="3">
        <v>15</v>
      </c>
      <c r="W95" s="3">
        <v>0</v>
      </c>
    </row>
    <row r="96" spans="1:23" ht="11.25" customHeight="1" x14ac:dyDescent="0.25">
      <c r="A96" s="3" t="s">
        <v>21</v>
      </c>
      <c r="B96" s="3" t="s">
        <v>35</v>
      </c>
      <c r="C96" s="3" t="s">
        <v>36</v>
      </c>
      <c r="D96" s="3" t="s">
        <v>34</v>
      </c>
      <c r="E96" s="3" t="s">
        <v>25</v>
      </c>
      <c r="F96" s="3" t="s">
        <v>55</v>
      </c>
      <c r="G96" s="3" t="s">
        <v>25</v>
      </c>
      <c r="H96" s="3" t="s">
        <v>38</v>
      </c>
      <c r="I96" s="6">
        <v>44531</v>
      </c>
      <c r="J96" s="4">
        <v>0</v>
      </c>
      <c r="K96" s="4">
        <v>0</v>
      </c>
      <c r="L96" s="4">
        <v>208.74100000000001</v>
      </c>
      <c r="M96" s="4">
        <v>208.74100000000001</v>
      </c>
      <c r="N96" s="4">
        <v>0</v>
      </c>
      <c r="O96" s="4">
        <v>0</v>
      </c>
      <c r="P96" s="4">
        <v>0</v>
      </c>
      <c r="Q96" s="3" t="s">
        <v>56</v>
      </c>
      <c r="R96" s="3">
        <v>0</v>
      </c>
      <c r="S96" s="3" t="s">
        <v>132</v>
      </c>
      <c r="U96" s="3">
        <v>0</v>
      </c>
      <c r="V96" s="3">
        <v>15</v>
      </c>
      <c r="W96" s="3">
        <v>0</v>
      </c>
    </row>
    <row r="97" spans="1:23" ht="11.25" customHeight="1" x14ac:dyDescent="0.25">
      <c r="A97" s="3" t="s">
        <v>21</v>
      </c>
      <c r="B97" s="3" t="s">
        <v>35</v>
      </c>
      <c r="C97" s="3" t="s">
        <v>36</v>
      </c>
      <c r="D97" s="3" t="s">
        <v>34</v>
      </c>
      <c r="E97" s="3" t="s">
        <v>25</v>
      </c>
      <c r="F97" s="3" t="s">
        <v>55</v>
      </c>
      <c r="G97" s="3" t="s">
        <v>25</v>
      </c>
      <c r="H97" s="3" t="s">
        <v>38</v>
      </c>
      <c r="I97" s="6">
        <v>44562</v>
      </c>
      <c r="J97" s="4">
        <v>0</v>
      </c>
      <c r="K97" s="4">
        <v>0</v>
      </c>
      <c r="L97" s="4">
        <v>280.149</v>
      </c>
      <c r="M97" s="4">
        <v>280.149</v>
      </c>
      <c r="N97" s="4">
        <v>0</v>
      </c>
      <c r="O97" s="4">
        <v>0</v>
      </c>
      <c r="P97" s="4">
        <v>0</v>
      </c>
      <c r="Q97" s="3" t="s">
        <v>56</v>
      </c>
      <c r="R97" s="3">
        <v>0</v>
      </c>
      <c r="S97" s="3" t="s">
        <v>133</v>
      </c>
      <c r="U97" s="3">
        <v>0</v>
      </c>
      <c r="V97" s="3">
        <v>15</v>
      </c>
      <c r="W97" s="3">
        <v>0</v>
      </c>
    </row>
    <row r="98" spans="1:23" ht="11.25" customHeight="1" x14ac:dyDescent="0.25">
      <c r="A98" s="3" t="s">
        <v>21</v>
      </c>
      <c r="B98" s="3" t="s">
        <v>35</v>
      </c>
      <c r="C98" s="3" t="s">
        <v>36</v>
      </c>
      <c r="D98" s="3" t="s">
        <v>34</v>
      </c>
      <c r="E98" s="3" t="s">
        <v>25</v>
      </c>
      <c r="F98" s="3" t="s">
        <v>55</v>
      </c>
      <c r="G98" s="3" t="s">
        <v>25</v>
      </c>
      <c r="H98" s="3" t="s">
        <v>38</v>
      </c>
      <c r="I98" s="6">
        <v>44593</v>
      </c>
      <c r="J98" s="4">
        <v>0</v>
      </c>
      <c r="K98" s="4">
        <v>0</v>
      </c>
      <c r="L98" s="4">
        <v>295.05799999999999</v>
      </c>
      <c r="M98" s="4">
        <v>295.05799999999999</v>
      </c>
      <c r="N98" s="4">
        <v>0</v>
      </c>
      <c r="O98" s="4">
        <v>0</v>
      </c>
      <c r="P98" s="4">
        <v>0</v>
      </c>
      <c r="Q98" s="3" t="s">
        <v>56</v>
      </c>
      <c r="R98" s="3">
        <v>0</v>
      </c>
      <c r="S98" s="3" t="s">
        <v>134</v>
      </c>
      <c r="U98" s="3">
        <v>0</v>
      </c>
      <c r="V98" s="3">
        <v>15</v>
      </c>
      <c r="W98" s="3">
        <v>0</v>
      </c>
    </row>
    <row r="99" spans="1:23" ht="11.25" customHeight="1" x14ac:dyDescent="0.25">
      <c r="A99" s="3" t="s">
        <v>21</v>
      </c>
      <c r="B99" s="3" t="s">
        <v>35</v>
      </c>
      <c r="C99" s="3" t="s">
        <v>36</v>
      </c>
      <c r="D99" s="3" t="s">
        <v>34</v>
      </c>
      <c r="E99" s="3" t="s">
        <v>25</v>
      </c>
      <c r="F99" s="3" t="s">
        <v>55</v>
      </c>
      <c r="G99" s="3" t="s">
        <v>25</v>
      </c>
      <c r="H99" s="3" t="s">
        <v>38</v>
      </c>
      <c r="I99" s="6">
        <v>44621</v>
      </c>
      <c r="J99" s="4">
        <v>0</v>
      </c>
      <c r="K99" s="4">
        <v>0</v>
      </c>
      <c r="L99" s="4">
        <v>336.435</v>
      </c>
      <c r="M99" s="4">
        <v>336.435</v>
      </c>
      <c r="N99" s="4">
        <v>0</v>
      </c>
      <c r="O99" s="4">
        <v>0</v>
      </c>
      <c r="P99" s="4">
        <v>0</v>
      </c>
      <c r="Q99" s="3" t="s">
        <v>56</v>
      </c>
      <c r="R99" s="3">
        <v>0</v>
      </c>
      <c r="S99" s="3" t="s">
        <v>135</v>
      </c>
      <c r="U99" s="3">
        <v>0</v>
      </c>
      <c r="V99" s="3">
        <v>15</v>
      </c>
      <c r="W99" s="3">
        <v>0</v>
      </c>
    </row>
    <row r="100" spans="1:23" ht="11.25" customHeight="1" x14ac:dyDescent="0.25">
      <c r="A100" s="3" t="s">
        <v>21</v>
      </c>
      <c r="B100" s="3" t="s">
        <v>35</v>
      </c>
      <c r="C100" s="3" t="s">
        <v>36</v>
      </c>
      <c r="D100" s="3" t="s">
        <v>34</v>
      </c>
      <c r="E100" s="3" t="s">
        <v>25</v>
      </c>
      <c r="F100" s="3" t="s">
        <v>55</v>
      </c>
      <c r="G100" s="3" t="s">
        <v>25</v>
      </c>
      <c r="H100" s="3" t="s">
        <v>38</v>
      </c>
      <c r="I100" s="6">
        <v>44652</v>
      </c>
      <c r="J100" s="4">
        <v>0</v>
      </c>
      <c r="K100" s="4">
        <v>0</v>
      </c>
      <c r="L100" s="4">
        <v>330.31299999999999</v>
      </c>
      <c r="M100" s="4">
        <v>330.31299999999999</v>
      </c>
      <c r="N100" s="4">
        <v>0</v>
      </c>
      <c r="O100" s="4">
        <v>0</v>
      </c>
      <c r="P100" s="4">
        <v>0</v>
      </c>
      <c r="Q100" s="3" t="s">
        <v>56</v>
      </c>
      <c r="R100" s="3">
        <v>0</v>
      </c>
      <c r="S100" s="3" t="s">
        <v>136</v>
      </c>
      <c r="U100" s="3">
        <v>0</v>
      </c>
      <c r="V100" s="3">
        <v>15</v>
      </c>
      <c r="W100" s="3">
        <v>0</v>
      </c>
    </row>
    <row r="101" spans="1:23" ht="11.25" customHeight="1" x14ac:dyDescent="0.25">
      <c r="A101" s="3" t="s">
        <v>21</v>
      </c>
      <c r="B101" s="3" t="s">
        <v>35</v>
      </c>
      <c r="C101" s="3" t="s">
        <v>36</v>
      </c>
      <c r="D101" s="3" t="s">
        <v>34</v>
      </c>
      <c r="E101" s="3" t="s">
        <v>25</v>
      </c>
      <c r="F101" s="3" t="s">
        <v>55</v>
      </c>
      <c r="G101" s="3" t="s">
        <v>25</v>
      </c>
      <c r="H101" s="3" t="s">
        <v>38</v>
      </c>
      <c r="I101" s="6">
        <v>44682</v>
      </c>
      <c r="J101" s="4">
        <v>0</v>
      </c>
      <c r="K101" s="4">
        <v>0</v>
      </c>
      <c r="L101" s="4">
        <v>425.762</v>
      </c>
      <c r="M101" s="4">
        <v>425.762</v>
      </c>
      <c r="N101" s="4">
        <v>0</v>
      </c>
      <c r="O101" s="4">
        <v>0</v>
      </c>
      <c r="P101" s="4">
        <v>0</v>
      </c>
      <c r="Q101" s="3" t="s">
        <v>56</v>
      </c>
      <c r="R101" s="3">
        <v>0</v>
      </c>
      <c r="S101" s="3" t="s">
        <v>137</v>
      </c>
      <c r="U101" s="3">
        <v>0</v>
      </c>
      <c r="V101" s="3">
        <v>15</v>
      </c>
      <c r="W101" s="3">
        <v>0</v>
      </c>
    </row>
    <row r="102" spans="1:23" ht="11.25" customHeight="1" x14ac:dyDescent="0.25">
      <c r="A102" s="3" t="s">
        <v>21</v>
      </c>
      <c r="B102" s="3" t="s">
        <v>35</v>
      </c>
      <c r="C102" s="3" t="s">
        <v>36</v>
      </c>
      <c r="D102" s="3" t="s">
        <v>34</v>
      </c>
      <c r="E102" s="3" t="s">
        <v>25</v>
      </c>
      <c r="F102" s="3" t="s">
        <v>55</v>
      </c>
      <c r="G102" s="3" t="s">
        <v>25</v>
      </c>
      <c r="H102" s="3" t="s">
        <v>38</v>
      </c>
      <c r="I102" s="6">
        <v>44713</v>
      </c>
      <c r="J102" s="4">
        <v>0</v>
      </c>
      <c r="K102" s="4">
        <v>0</v>
      </c>
      <c r="L102" s="4">
        <v>229.59800000000001</v>
      </c>
      <c r="M102" s="4">
        <v>229.59800000000001</v>
      </c>
      <c r="N102" s="4">
        <v>0</v>
      </c>
      <c r="O102" s="4">
        <v>0</v>
      </c>
      <c r="P102" s="4">
        <v>0</v>
      </c>
      <c r="Q102" s="3" t="s">
        <v>56</v>
      </c>
      <c r="R102" s="3">
        <v>0</v>
      </c>
      <c r="S102" s="3" t="s">
        <v>138</v>
      </c>
      <c r="U102" s="3">
        <v>0</v>
      </c>
      <c r="V102" s="3">
        <v>15</v>
      </c>
      <c r="W102" s="3">
        <v>0</v>
      </c>
    </row>
    <row r="103" spans="1:23" ht="11.25" customHeight="1" x14ac:dyDescent="0.25">
      <c r="A103" s="3" t="s">
        <v>21</v>
      </c>
      <c r="B103" s="3" t="s">
        <v>35</v>
      </c>
      <c r="C103" s="3" t="s">
        <v>36</v>
      </c>
      <c r="D103" s="3" t="s">
        <v>34</v>
      </c>
      <c r="E103" s="3" t="s">
        <v>25</v>
      </c>
      <c r="F103" s="3" t="s">
        <v>55</v>
      </c>
      <c r="G103" s="3" t="s">
        <v>25</v>
      </c>
      <c r="H103" s="3" t="s">
        <v>38</v>
      </c>
      <c r="I103" s="6">
        <v>44743</v>
      </c>
      <c r="J103" s="4">
        <v>0</v>
      </c>
      <c r="K103" s="4">
        <v>0</v>
      </c>
      <c r="L103" s="4">
        <v>248.518</v>
      </c>
      <c r="M103" s="4">
        <v>248.518</v>
      </c>
      <c r="N103" s="4">
        <v>0</v>
      </c>
      <c r="O103" s="4">
        <v>0</v>
      </c>
      <c r="P103" s="4">
        <v>0</v>
      </c>
      <c r="Q103" s="3" t="s">
        <v>56</v>
      </c>
      <c r="R103" s="3">
        <v>0</v>
      </c>
      <c r="S103" s="3" t="s">
        <v>139</v>
      </c>
      <c r="U103" s="3">
        <v>0</v>
      </c>
      <c r="V103" s="3">
        <v>15</v>
      </c>
      <c r="W103" s="3">
        <v>0</v>
      </c>
    </row>
    <row r="104" spans="1:23" ht="11.25" customHeight="1" x14ac:dyDescent="0.25">
      <c r="A104" s="3" t="s">
        <v>21</v>
      </c>
      <c r="B104" s="3" t="s">
        <v>35</v>
      </c>
      <c r="C104" s="3" t="s">
        <v>36</v>
      </c>
      <c r="D104" s="3" t="s">
        <v>34</v>
      </c>
      <c r="E104" s="3" t="s">
        <v>25</v>
      </c>
      <c r="F104" s="3" t="s">
        <v>55</v>
      </c>
      <c r="G104" s="3" t="s">
        <v>25</v>
      </c>
      <c r="H104" s="3" t="s">
        <v>38</v>
      </c>
      <c r="I104" s="6">
        <v>44774</v>
      </c>
      <c r="J104" s="4">
        <v>0</v>
      </c>
      <c r="K104" s="4">
        <v>0</v>
      </c>
      <c r="L104" s="4">
        <v>309.75900000000001</v>
      </c>
      <c r="M104" s="4">
        <v>309.75900000000001</v>
      </c>
      <c r="N104" s="4">
        <v>0</v>
      </c>
      <c r="O104" s="4">
        <v>0</v>
      </c>
      <c r="P104" s="4">
        <v>0</v>
      </c>
      <c r="Q104" s="3" t="s">
        <v>56</v>
      </c>
      <c r="R104" s="3">
        <v>0</v>
      </c>
      <c r="S104" s="3" t="s">
        <v>140</v>
      </c>
      <c r="U104" s="3">
        <v>0</v>
      </c>
      <c r="V104" s="3">
        <v>15</v>
      </c>
      <c r="W104" s="3">
        <v>0</v>
      </c>
    </row>
    <row r="105" spans="1:23" ht="11.25" customHeight="1" x14ac:dyDescent="0.25">
      <c r="A105" s="3" t="s">
        <v>21</v>
      </c>
      <c r="B105" s="3" t="s">
        <v>35</v>
      </c>
      <c r="C105" s="3" t="s">
        <v>36</v>
      </c>
      <c r="D105" s="3" t="s">
        <v>34</v>
      </c>
      <c r="E105" s="3" t="s">
        <v>25</v>
      </c>
      <c r="F105" s="3" t="s">
        <v>55</v>
      </c>
      <c r="G105" s="3" t="s">
        <v>25</v>
      </c>
      <c r="H105" s="3" t="s">
        <v>25</v>
      </c>
      <c r="I105" s="6">
        <v>44440</v>
      </c>
      <c r="J105" s="4">
        <v>540</v>
      </c>
      <c r="K105" s="4">
        <v>270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3" t="s">
        <v>56</v>
      </c>
      <c r="R105" s="3">
        <v>0</v>
      </c>
      <c r="S105" s="3" t="s">
        <v>141</v>
      </c>
      <c r="U105" s="3">
        <v>22</v>
      </c>
      <c r="V105" s="3">
        <v>0</v>
      </c>
      <c r="W105" s="3">
        <v>0</v>
      </c>
    </row>
    <row r="106" spans="1:23" ht="11.25" customHeight="1" x14ac:dyDescent="0.25">
      <c r="A106" s="3" t="s">
        <v>21</v>
      </c>
      <c r="B106" s="3" t="s">
        <v>35</v>
      </c>
      <c r="C106" s="3" t="s">
        <v>36</v>
      </c>
      <c r="D106" s="3" t="s">
        <v>34</v>
      </c>
      <c r="E106" s="3" t="s">
        <v>25</v>
      </c>
      <c r="F106" s="3" t="s">
        <v>55</v>
      </c>
      <c r="G106" s="3" t="s">
        <v>25</v>
      </c>
      <c r="H106" s="3" t="s">
        <v>25</v>
      </c>
      <c r="I106" s="6">
        <v>44470</v>
      </c>
      <c r="J106" s="4">
        <v>540</v>
      </c>
      <c r="K106" s="4">
        <v>270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3" t="s">
        <v>56</v>
      </c>
      <c r="R106" s="3">
        <v>0</v>
      </c>
      <c r="S106" s="3" t="s">
        <v>142</v>
      </c>
      <c r="U106" s="3">
        <v>22</v>
      </c>
      <c r="V106" s="3">
        <v>0</v>
      </c>
      <c r="W106" s="3">
        <v>0</v>
      </c>
    </row>
    <row r="107" spans="1:23" ht="11.25" customHeight="1" x14ac:dyDescent="0.25">
      <c r="A107" s="3" t="s">
        <v>21</v>
      </c>
      <c r="B107" s="3" t="s">
        <v>35</v>
      </c>
      <c r="C107" s="3" t="s">
        <v>36</v>
      </c>
      <c r="D107" s="3" t="s">
        <v>34</v>
      </c>
      <c r="E107" s="3" t="s">
        <v>25</v>
      </c>
      <c r="F107" s="3" t="s">
        <v>55</v>
      </c>
      <c r="G107" s="3" t="s">
        <v>25</v>
      </c>
      <c r="H107" s="3" t="s">
        <v>25</v>
      </c>
      <c r="I107" s="6">
        <v>44501</v>
      </c>
      <c r="J107" s="4">
        <v>540</v>
      </c>
      <c r="K107" s="4">
        <v>270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3" t="s">
        <v>56</v>
      </c>
      <c r="R107" s="3">
        <v>0</v>
      </c>
      <c r="S107" s="3" t="s">
        <v>143</v>
      </c>
      <c r="U107" s="3">
        <v>22</v>
      </c>
      <c r="V107" s="3">
        <v>0</v>
      </c>
      <c r="W107" s="3">
        <v>0</v>
      </c>
    </row>
    <row r="108" spans="1:23" ht="11.25" customHeight="1" x14ac:dyDescent="0.25">
      <c r="A108" s="3" t="s">
        <v>21</v>
      </c>
      <c r="B108" s="3" t="s">
        <v>35</v>
      </c>
      <c r="C108" s="3" t="s">
        <v>36</v>
      </c>
      <c r="D108" s="3" t="s">
        <v>34</v>
      </c>
      <c r="E108" s="3" t="s">
        <v>25</v>
      </c>
      <c r="F108" s="3" t="s">
        <v>55</v>
      </c>
      <c r="G108" s="3" t="s">
        <v>25</v>
      </c>
      <c r="H108" s="3" t="s">
        <v>25</v>
      </c>
      <c r="I108" s="6">
        <v>44531</v>
      </c>
      <c r="J108" s="4">
        <v>554</v>
      </c>
      <c r="K108" s="4">
        <v>277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3" t="s">
        <v>56</v>
      </c>
      <c r="R108" s="3">
        <v>0</v>
      </c>
      <c r="S108" s="3" t="s">
        <v>144</v>
      </c>
      <c r="U108" s="3">
        <v>22</v>
      </c>
      <c r="V108" s="3">
        <v>0</v>
      </c>
      <c r="W108" s="3">
        <v>0</v>
      </c>
    </row>
    <row r="109" spans="1:23" ht="11.25" customHeight="1" x14ac:dyDescent="0.25">
      <c r="A109" s="3" t="s">
        <v>21</v>
      </c>
      <c r="B109" s="3" t="s">
        <v>35</v>
      </c>
      <c r="C109" s="3" t="s">
        <v>36</v>
      </c>
      <c r="D109" s="3" t="s">
        <v>34</v>
      </c>
      <c r="E109" s="3" t="s">
        <v>25</v>
      </c>
      <c r="F109" s="3" t="s">
        <v>55</v>
      </c>
      <c r="G109" s="3" t="s">
        <v>25</v>
      </c>
      <c r="H109" s="3" t="s">
        <v>25</v>
      </c>
      <c r="I109" s="6">
        <v>44562</v>
      </c>
      <c r="J109" s="4">
        <v>561</v>
      </c>
      <c r="K109" s="4">
        <v>280.5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3" t="s">
        <v>56</v>
      </c>
      <c r="R109" s="3">
        <v>0</v>
      </c>
      <c r="S109" s="3" t="s">
        <v>145</v>
      </c>
      <c r="U109" s="3">
        <v>22</v>
      </c>
      <c r="V109" s="3">
        <v>0</v>
      </c>
      <c r="W109" s="3">
        <v>0</v>
      </c>
    </row>
    <row r="110" spans="1:23" ht="11.25" customHeight="1" x14ac:dyDescent="0.25">
      <c r="A110" s="3" t="s">
        <v>21</v>
      </c>
      <c r="B110" s="3" t="s">
        <v>35</v>
      </c>
      <c r="C110" s="3" t="s">
        <v>36</v>
      </c>
      <c r="D110" s="3" t="s">
        <v>34</v>
      </c>
      <c r="E110" s="3" t="s">
        <v>25</v>
      </c>
      <c r="F110" s="3" t="s">
        <v>55</v>
      </c>
      <c r="G110" s="3" t="s">
        <v>25</v>
      </c>
      <c r="H110" s="3" t="s">
        <v>25</v>
      </c>
      <c r="I110" s="6">
        <v>44593</v>
      </c>
      <c r="J110" s="4">
        <v>598</v>
      </c>
      <c r="K110" s="4">
        <v>299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3" t="s">
        <v>56</v>
      </c>
      <c r="R110" s="3">
        <v>0</v>
      </c>
      <c r="S110" s="3" t="s">
        <v>146</v>
      </c>
      <c r="U110" s="3">
        <v>22</v>
      </c>
      <c r="V110" s="3">
        <v>0</v>
      </c>
      <c r="W110" s="3">
        <v>0</v>
      </c>
    </row>
    <row r="111" spans="1:23" ht="11.25" customHeight="1" x14ac:dyDescent="0.25">
      <c r="A111" s="3" t="s">
        <v>21</v>
      </c>
      <c r="B111" s="3" t="s">
        <v>35</v>
      </c>
      <c r="C111" s="3" t="s">
        <v>36</v>
      </c>
      <c r="D111" s="3" t="s">
        <v>34</v>
      </c>
      <c r="E111" s="3" t="s">
        <v>25</v>
      </c>
      <c r="F111" s="3" t="s">
        <v>55</v>
      </c>
      <c r="G111" s="3" t="s">
        <v>25</v>
      </c>
      <c r="H111" s="3" t="s">
        <v>25</v>
      </c>
      <c r="I111" s="6">
        <v>44621</v>
      </c>
      <c r="J111" s="4">
        <v>601</v>
      </c>
      <c r="K111" s="4">
        <v>300.5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3" t="s">
        <v>56</v>
      </c>
      <c r="R111" s="3">
        <v>0</v>
      </c>
      <c r="S111" s="3" t="s">
        <v>147</v>
      </c>
      <c r="U111" s="3">
        <v>22</v>
      </c>
      <c r="V111" s="3">
        <v>0</v>
      </c>
      <c r="W111" s="3">
        <v>0</v>
      </c>
    </row>
    <row r="112" spans="1:23" ht="11.25" customHeight="1" x14ac:dyDescent="0.25">
      <c r="A112" s="3" t="s">
        <v>21</v>
      </c>
      <c r="B112" s="3" t="s">
        <v>35</v>
      </c>
      <c r="C112" s="3" t="s">
        <v>36</v>
      </c>
      <c r="D112" s="3" t="s">
        <v>34</v>
      </c>
      <c r="E112" s="3" t="s">
        <v>25</v>
      </c>
      <c r="F112" s="3" t="s">
        <v>55</v>
      </c>
      <c r="G112" s="3" t="s">
        <v>25</v>
      </c>
      <c r="H112" s="3" t="s">
        <v>25</v>
      </c>
      <c r="I112" s="6">
        <v>44652</v>
      </c>
      <c r="J112" s="4">
        <v>605</v>
      </c>
      <c r="K112" s="4">
        <v>302.5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3" t="s">
        <v>56</v>
      </c>
      <c r="R112" s="3">
        <v>0</v>
      </c>
      <c r="S112" s="3" t="s">
        <v>148</v>
      </c>
      <c r="U112" s="3">
        <v>22</v>
      </c>
      <c r="V112" s="3">
        <v>0</v>
      </c>
      <c r="W112" s="3">
        <v>0</v>
      </c>
    </row>
    <row r="113" spans="1:23" ht="11.25" customHeight="1" x14ac:dyDescent="0.25">
      <c r="A113" s="3" t="s">
        <v>21</v>
      </c>
      <c r="B113" s="3" t="s">
        <v>35</v>
      </c>
      <c r="C113" s="3" t="s">
        <v>36</v>
      </c>
      <c r="D113" s="3" t="s">
        <v>34</v>
      </c>
      <c r="E113" s="3" t="s">
        <v>25</v>
      </c>
      <c r="F113" s="3" t="s">
        <v>55</v>
      </c>
      <c r="G113" s="3" t="s">
        <v>25</v>
      </c>
      <c r="H113" s="3" t="s">
        <v>25</v>
      </c>
      <c r="I113" s="6">
        <v>44682</v>
      </c>
      <c r="J113" s="4">
        <v>1198</v>
      </c>
      <c r="K113" s="4">
        <v>599</v>
      </c>
      <c r="L113" s="4">
        <v>0</v>
      </c>
      <c r="M113" s="4">
        <v>0</v>
      </c>
      <c r="N113" s="4">
        <v>0</v>
      </c>
      <c r="O113" s="4">
        <v>0</v>
      </c>
      <c r="P113" s="4">
        <v>2</v>
      </c>
      <c r="Q113" s="3" t="s">
        <v>56</v>
      </c>
      <c r="R113" s="3">
        <v>0</v>
      </c>
      <c r="S113" s="3" t="s">
        <v>149</v>
      </c>
      <c r="U113" s="3">
        <v>22</v>
      </c>
      <c r="V113" s="3">
        <v>0</v>
      </c>
      <c r="W113" s="3">
        <v>0</v>
      </c>
    </row>
    <row r="114" spans="1:23" ht="11.25" customHeight="1" x14ac:dyDescent="0.25">
      <c r="A114" s="3" t="s">
        <v>21</v>
      </c>
      <c r="B114" s="3" t="s">
        <v>35</v>
      </c>
      <c r="C114" s="3" t="s">
        <v>36</v>
      </c>
      <c r="D114" s="3" t="s">
        <v>34</v>
      </c>
      <c r="E114" s="3" t="s">
        <v>25</v>
      </c>
      <c r="F114" s="3" t="s">
        <v>55</v>
      </c>
      <c r="G114" s="3" t="s">
        <v>25</v>
      </c>
      <c r="H114" s="3" t="s">
        <v>25</v>
      </c>
      <c r="I114" s="6">
        <v>44713</v>
      </c>
      <c r="J114" s="4">
        <v>1195</v>
      </c>
      <c r="K114" s="4">
        <v>597.5</v>
      </c>
      <c r="L114" s="4">
        <v>0</v>
      </c>
      <c r="M114" s="4">
        <v>0</v>
      </c>
      <c r="N114" s="4">
        <v>0</v>
      </c>
      <c r="O114" s="4">
        <v>0</v>
      </c>
      <c r="P114" s="4">
        <v>2</v>
      </c>
      <c r="Q114" s="3" t="s">
        <v>56</v>
      </c>
      <c r="R114" s="3">
        <v>0</v>
      </c>
      <c r="S114" s="3" t="s">
        <v>150</v>
      </c>
      <c r="U114" s="3">
        <v>22</v>
      </c>
      <c r="V114" s="3">
        <v>0</v>
      </c>
      <c r="W114" s="3">
        <v>0</v>
      </c>
    </row>
    <row r="115" spans="1:23" ht="11.25" customHeight="1" x14ac:dyDescent="0.25">
      <c r="A115" s="3" t="s">
        <v>21</v>
      </c>
      <c r="B115" s="3" t="s">
        <v>35</v>
      </c>
      <c r="C115" s="3" t="s">
        <v>36</v>
      </c>
      <c r="D115" s="3" t="s">
        <v>34</v>
      </c>
      <c r="E115" s="3" t="s">
        <v>25</v>
      </c>
      <c r="F115" s="3" t="s">
        <v>55</v>
      </c>
      <c r="G115" s="3" t="s">
        <v>25</v>
      </c>
      <c r="H115" s="3" t="s">
        <v>25</v>
      </c>
      <c r="I115" s="6">
        <v>44743</v>
      </c>
      <c r="J115" s="4">
        <v>1140</v>
      </c>
      <c r="K115" s="4">
        <v>570</v>
      </c>
      <c r="L115" s="4">
        <v>0</v>
      </c>
      <c r="M115" s="4">
        <v>0</v>
      </c>
      <c r="N115" s="4">
        <v>0</v>
      </c>
      <c r="O115" s="4">
        <v>0</v>
      </c>
      <c r="P115" s="4">
        <v>2</v>
      </c>
      <c r="Q115" s="3" t="s">
        <v>56</v>
      </c>
      <c r="R115" s="3">
        <v>0</v>
      </c>
      <c r="S115" s="3" t="s">
        <v>151</v>
      </c>
      <c r="U115" s="3">
        <v>22</v>
      </c>
      <c r="V115" s="3">
        <v>0</v>
      </c>
      <c r="W115" s="3">
        <v>0</v>
      </c>
    </row>
    <row r="116" spans="1:23" ht="11.25" customHeight="1" x14ac:dyDescent="0.25">
      <c r="A116" s="3" t="s">
        <v>21</v>
      </c>
      <c r="B116" s="3" t="s">
        <v>35</v>
      </c>
      <c r="C116" s="3" t="s">
        <v>36</v>
      </c>
      <c r="D116" s="3" t="s">
        <v>34</v>
      </c>
      <c r="E116" s="3" t="s">
        <v>25</v>
      </c>
      <c r="F116" s="3" t="s">
        <v>55</v>
      </c>
      <c r="G116" s="3" t="s">
        <v>25</v>
      </c>
      <c r="H116" s="3" t="s">
        <v>25</v>
      </c>
      <c r="I116" s="6">
        <v>44774</v>
      </c>
      <c r="J116" s="4">
        <v>1140</v>
      </c>
      <c r="K116" s="4">
        <v>570</v>
      </c>
      <c r="L116" s="4">
        <v>0</v>
      </c>
      <c r="M116" s="4">
        <v>0</v>
      </c>
      <c r="N116" s="4">
        <v>0</v>
      </c>
      <c r="O116" s="4">
        <v>0</v>
      </c>
      <c r="P116" s="4">
        <v>2</v>
      </c>
      <c r="Q116" s="3" t="s">
        <v>56</v>
      </c>
      <c r="R116" s="3">
        <v>0</v>
      </c>
      <c r="S116" s="3" t="s">
        <v>152</v>
      </c>
      <c r="U116" s="3">
        <v>22</v>
      </c>
      <c r="V116" s="3">
        <v>0</v>
      </c>
      <c r="W116" s="3">
        <v>0</v>
      </c>
    </row>
    <row r="117" spans="1:23" ht="11.25" customHeight="1" x14ac:dyDescent="0.25">
      <c r="A117" s="3" t="s">
        <v>21</v>
      </c>
      <c r="B117" s="3" t="s">
        <v>35</v>
      </c>
      <c r="C117" s="3" t="s">
        <v>36</v>
      </c>
      <c r="D117" s="3" t="s">
        <v>34</v>
      </c>
      <c r="E117" s="3" t="s">
        <v>25</v>
      </c>
      <c r="F117" s="3" t="s">
        <v>55</v>
      </c>
      <c r="G117" s="3" t="s">
        <v>25</v>
      </c>
      <c r="H117" s="3" t="s">
        <v>37</v>
      </c>
      <c r="I117" s="6">
        <v>44440</v>
      </c>
      <c r="J117" s="4">
        <v>0</v>
      </c>
      <c r="K117" s="4">
        <v>0</v>
      </c>
      <c r="L117" s="4">
        <v>23.035</v>
      </c>
      <c r="M117" s="4">
        <v>11.886060000000001</v>
      </c>
      <c r="N117" s="4">
        <v>0</v>
      </c>
      <c r="O117" s="4">
        <v>0</v>
      </c>
      <c r="P117" s="4">
        <v>0</v>
      </c>
      <c r="Q117" s="3" t="s">
        <v>56</v>
      </c>
      <c r="R117" s="3">
        <v>0</v>
      </c>
      <c r="S117" s="3" t="s">
        <v>153</v>
      </c>
      <c r="U117" s="3">
        <v>0</v>
      </c>
      <c r="V117" s="3">
        <v>33</v>
      </c>
      <c r="W117" s="3">
        <v>0</v>
      </c>
    </row>
    <row r="118" spans="1:23" ht="11.25" customHeight="1" x14ac:dyDescent="0.25">
      <c r="A118" s="3" t="s">
        <v>21</v>
      </c>
      <c r="B118" s="3" t="s">
        <v>35</v>
      </c>
      <c r="C118" s="3" t="s">
        <v>36</v>
      </c>
      <c r="D118" s="3" t="s">
        <v>34</v>
      </c>
      <c r="E118" s="3" t="s">
        <v>25</v>
      </c>
      <c r="F118" s="3" t="s">
        <v>55</v>
      </c>
      <c r="G118" s="3" t="s">
        <v>25</v>
      </c>
      <c r="H118" s="3" t="s">
        <v>37</v>
      </c>
      <c r="I118" s="6">
        <v>44470</v>
      </c>
      <c r="J118" s="4">
        <v>0</v>
      </c>
      <c r="K118" s="4">
        <v>0</v>
      </c>
      <c r="L118" s="4">
        <v>24.352</v>
      </c>
      <c r="M118" s="4">
        <v>12.5339744</v>
      </c>
      <c r="N118" s="4">
        <v>0</v>
      </c>
      <c r="O118" s="4">
        <v>0</v>
      </c>
      <c r="P118" s="4">
        <v>0</v>
      </c>
      <c r="Q118" s="3" t="s">
        <v>56</v>
      </c>
      <c r="R118" s="3">
        <v>0</v>
      </c>
      <c r="S118" s="3" t="s">
        <v>154</v>
      </c>
      <c r="U118" s="3">
        <v>0</v>
      </c>
      <c r="V118" s="3">
        <v>33</v>
      </c>
      <c r="W118" s="3">
        <v>0</v>
      </c>
    </row>
    <row r="119" spans="1:23" ht="11.25" customHeight="1" x14ac:dyDescent="0.25">
      <c r="A119" s="3" t="s">
        <v>21</v>
      </c>
      <c r="B119" s="3" t="s">
        <v>35</v>
      </c>
      <c r="C119" s="3" t="s">
        <v>36</v>
      </c>
      <c r="D119" s="3" t="s">
        <v>34</v>
      </c>
      <c r="E119" s="3" t="s">
        <v>25</v>
      </c>
      <c r="F119" s="3" t="s">
        <v>55</v>
      </c>
      <c r="G119" s="3" t="s">
        <v>25</v>
      </c>
      <c r="H119" s="3" t="s">
        <v>37</v>
      </c>
      <c r="I119" s="6">
        <v>44501</v>
      </c>
      <c r="J119" s="4">
        <v>0</v>
      </c>
      <c r="K119" s="4">
        <v>0</v>
      </c>
      <c r="L119" s="4">
        <v>24.995999999999999</v>
      </c>
      <c r="M119" s="4">
        <v>12.865441199999999</v>
      </c>
      <c r="N119" s="4">
        <v>0</v>
      </c>
      <c r="O119" s="4">
        <v>0</v>
      </c>
      <c r="P119" s="4">
        <v>0</v>
      </c>
      <c r="Q119" s="3" t="s">
        <v>56</v>
      </c>
      <c r="R119" s="3">
        <v>0</v>
      </c>
      <c r="S119" s="3" t="s">
        <v>155</v>
      </c>
      <c r="U119" s="3">
        <v>0</v>
      </c>
      <c r="V119" s="3">
        <v>33</v>
      </c>
      <c r="W119" s="3">
        <v>0</v>
      </c>
    </row>
    <row r="120" spans="1:23" ht="11.25" customHeight="1" x14ac:dyDescent="0.25">
      <c r="A120" s="3" t="s">
        <v>21</v>
      </c>
      <c r="B120" s="3" t="s">
        <v>35</v>
      </c>
      <c r="C120" s="3" t="s">
        <v>36</v>
      </c>
      <c r="D120" s="3" t="s">
        <v>34</v>
      </c>
      <c r="E120" s="3" t="s">
        <v>25</v>
      </c>
      <c r="F120" s="3" t="s">
        <v>55</v>
      </c>
      <c r="G120" s="3" t="s">
        <v>25</v>
      </c>
      <c r="H120" s="3" t="s">
        <v>37</v>
      </c>
      <c r="I120" s="6">
        <v>44531</v>
      </c>
      <c r="J120" s="4">
        <v>0</v>
      </c>
      <c r="K120" s="4">
        <v>0</v>
      </c>
      <c r="L120" s="4">
        <v>19.295999999999999</v>
      </c>
      <c r="M120" s="4">
        <v>9.9316511999999992</v>
      </c>
      <c r="N120" s="4">
        <v>0</v>
      </c>
      <c r="O120" s="4">
        <v>0</v>
      </c>
      <c r="P120" s="4">
        <v>0</v>
      </c>
      <c r="Q120" s="3" t="s">
        <v>56</v>
      </c>
      <c r="R120" s="3">
        <v>0</v>
      </c>
      <c r="S120" s="3" t="s">
        <v>156</v>
      </c>
      <c r="U120" s="3">
        <v>0</v>
      </c>
      <c r="V120" s="3">
        <v>33</v>
      </c>
      <c r="W120" s="3">
        <v>0</v>
      </c>
    </row>
    <row r="121" spans="1:23" ht="11.25" customHeight="1" x14ac:dyDescent="0.25">
      <c r="A121" s="3" t="s">
        <v>21</v>
      </c>
      <c r="B121" s="3" t="s">
        <v>35</v>
      </c>
      <c r="C121" s="3" t="s">
        <v>36</v>
      </c>
      <c r="D121" s="3" t="s">
        <v>34</v>
      </c>
      <c r="E121" s="3" t="s">
        <v>25</v>
      </c>
      <c r="F121" s="3" t="s">
        <v>55</v>
      </c>
      <c r="G121" s="3" t="s">
        <v>25</v>
      </c>
      <c r="H121" s="3" t="s">
        <v>37</v>
      </c>
      <c r="I121" s="6">
        <v>44562</v>
      </c>
      <c r="J121" s="4">
        <v>0</v>
      </c>
      <c r="K121" s="4">
        <v>0</v>
      </c>
      <c r="L121" s="4">
        <v>27.260999999999999</v>
      </c>
      <c r="M121" s="4">
        <v>14.031236699999999</v>
      </c>
      <c r="N121" s="4">
        <v>0</v>
      </c>
      <c r="O121" s="4">
        <v>0</v>
      </c>
      <c r="P121" s="4">
        <v>0</v>
      </c>
      <c r="Q121" s="3" t="s">
        <v>56</v>
      </c>
      <c r="R121" s="3">
        <v>0</v>
      </c>
      <c r="S121" s="3" t="s">
        <v>157</v>
      </c>
      <c r="U121" s="3">
        <v>0</v>
      </c>
      <c r="V121" s="3">
        <v>33</v>
      </c>
      <c r="W121" s="3">
        <v>0</v>
      </c>
    </row>
    <row r="122" spans="1:23" ht="11.25" customHeight="1" x14ac:dyDescent="0.25">
      <c r="A122" s="3" t="s">
        <v>21</v>
      </c>
      <c r="B122" s="3" t="s">
        <v>35</v>
      </c>
      <c r="C122" s="3" t="s">
        <v>36</v>
      </c>
      <c r="D122" s="3" t="s">
        <v>34</v>
      </c>
      <c r="E122" s="3" t="s">
        <v>25</v>
      </c>
      <c r="F122" s="3" t="s">
        <v>55</v>
      </c>
      <c r="G122" s="3" t="s">
        <v>25</v>
      </c>
      <c r="H122" s="3" t="s">
        <v>37</v>
      </c>
      <c r="I122" s="6">
        <v>44593</v>
      </c>
      <c r="J122" s="4">
        <v>0</v>
      </c>
      <c r="K122" s="4">
        <v>0</v>
      </c>
      <c r="L122" s="4">
        <v>27.995999999999999</v>
      </c>
      <c r="M122" s="4">
        <v>14.4095412</v>
      </c>
      <c r="N122" s="4">
        <v>0</v>
      </c>
      <c r="O122" s="4">
        <v>0</v>
      </c>
      <c r="P122" s="4">
        <v>0</v>
      </c>
      <c r="Q122" s="3" t="s">
        <v>56</v>
      </c>
      <c r="R122" s="3">
        <v>0</v>
      </c>
      <c r="S122" s="3" t="s">
        <v>158</v>
      </c>
      <c r="U122" s="3">
        <v>0</v>
      </c>
      <c r="V122" s="3">
        <v>33</v>
      </c>
      <c r="W122" s="3">
        <v>0</v>
      </c>
    </row>
    <row r="123" spans="1:23" ht="11.25" customHeight="1" x14ac:dyDescent="0.25">
      <c r="A123" s="3" t="s">
        <v>21</v>
      </c>
      <c r="B123" s="3" t="s">
        <v>35</v>
      </c>
      <c r="C123" s="3" t="s">
        <v>36</v>
      </c>
      <c r="D123" s="3" t="s">
        <v>34</v>
      </c>
      <c r="E123" s="3" t="s">
        <v>25</v>
      </c>
      <c r="F123" s="3" t="s">
        <v>55</v>
      </c>
      <c r="G123" s="3" t="s">
        <v>25</v>
      </c>
      <c r="H123" s="3" t="s">
        <v>37</v>
      </c>
      <c r="I123" s="6">
        <v>44621</v>
      </c>
      <c r="J123" s="4">
        <v>0</v>
      </c>
      <c r="K123" s="4">
        <v>0</v>
      </c>
      <c r="L123" s="4">
        <v>32.331000000000003</v>
      </c>
      <c r="M123" s="4">
        <v>16.640765699999999</v>
      </c>
      <c r="N123" s="4">
        <v>0</v>
      </c>
      <c r="O123" s="4">
        <v>0</v>
      </c>
      <c r="P123" s="4">
        <v>0</v>
      </c>
      <c r="Q123" s="3" t="s">
        <v>56</v>
      </c>
      <c r="R123" s="3">
        <v>0</v>
      </c>
      <c r="S123" s="3" t="s">
        <v>159</v>
      </c>
      <c r="U123" s="3">
        <v>0</v>
      </c>
      <c r="V123" s="3">
        <v>33</v>
      </c>
      <c r="W123" s="3">
        <v>0</v>
      </c>
    </row>
    <row r="124" spans="1:23" ht="11.25" customHeight="1" x14ac:dyDescent="0.25">
      <c r="A124" s="3" t="s">
        <v>21</v>
      </c>
      <c r="B124" s="3" t="s">
        <v>35</v>
      </c>
      <c r="C124" s="3" t="s">
        <v>36</v>
      </c>
      <c r="D124" s="3" t="s">
        <v>34</v>
      </c>
      <c r="E124" s="3" t="s">
        <v>25</v>
      </c>
      <c r="F124" s="3" t="s">
        <v>55</v>
      </c>
      <c r="G124" s="3" t="s">
        <v>25</v>
      </c>
      <c r="H124" s="3" t="s">
        <v>37</v>
      </c>
      <c r="I124" s="6">
        <v>44652</v>
      </c>
      <c r="J124" s="4">
        <v>0</v>
      </c>
      <c r="K124" s="4">
        <v>0</v>
      </c>
      <c r="L124" s="4">
        <v>28.545000000000002</v>
      </c>
      <c r="M124" s="4">
        <v>14.692111499999999</v>
      </c>
      <c r="N124" s="4">
        <v>0</v>
      </c>
      <c r="O124" s="4">
        <v>0</v>
      </c>
      <c r="P124" s="4">
        <v>0</v>
      </c>
      <c r="Q124" s="3" t="s">
        <v>56</v>
      </c>
      <c r="R124" s="3">
        <v>0</v>
      </c>
      <c r="S124" s="3" t="s">
        <v>160</v>
      </c>
      <c r="U124" s="3">
        <v>0</v>
      </c>
      <c r="V124" s="3">
        <v>33</v>
      </c>
      <c r="W124" s="3">
        <v>0</v>
      </c>
    </row>
    <row r="125" spans="1:23" ht="11.25" customHeight="1" x14ac:dyDescent="0.25">
      <c r="A125" s="3" t="s">
        <v>21</v>
      </c>
      <c r="B125" s="3" t="s">
        <v>35</v>
      </c>
      <c r="C125" s="3" t="s">
        <v>36</v>
      </c>
      <c r="D125" s="3" t="s">
        <v>34</v>
      </c>
      <c r="E125" s="3" t="s">
        <v>25</v>
      </c>
      <c r="F125" s="3" t="s">
        <v>55</v>
      </c>
      <c r="G125" s="3" t="s">
        <v>25</v>
      </c>
      <c r="H125" s="3" t="s">
        <v>37</v>
      </c>
      <c r="I125" s="6">
        <v>44682</v>
      </c>
      <c r="J125" s="4">
        <v>0</v>
      </c>
      <c r="K125" s="4">
        <v>0</v>
      </c>
      <c r="L125" s="4">
        <v>43.064</v>
      </c>
      <c r="M125" s="4">
        <v>22.1650408</v>
      </c>
      <c r="N125" s="4">
        <v>0</v>
      </c>
      <c r="O125" s="4">
        <v>0</v>
      </c>
      <c r="P125" s="4">
        <v>0</v>
      </c>
      <c r="Q125" s="3" t="s">
        <v>56</v>
      </c>
      <c r="R125" s="3">
        <v>0</v>
      </c>
      <c r="S125" s="3" t="s">
        <v>161</v>
      </c>
      <c r="U125" s="3">
        <v>0</v>
      </c>
      <c r="V125" s="3">
        <v>33</v>
      </c>
      <c r="W125" s="3">
        <v>0</v>
      </c>
    </row>
    <row r="126" spans="1:23" ht="11.25" customHeight="1" x14ac:dyDescent="0.25">
      <c r="A126" s="3" t="s">
        <v>21</v>
      </c>
      <c r="B126" s="3" t="s">
        <v>35</v>
      </c>
      <c r="C126" s="3" t="s">
        <v>36</v>
      </c>
      <c r="D126" s="3" t="s">
        <v>34</v>
      </c>
      <c r="E126" s="3" t="s">
        <v>25</v>
      </c>
      <c r="F126" s="3" t="s">
        <v>55</v>
      </c>
      <c r="G126" s="3" t="s">
        <v>25</v>
      </c>
      <c r="H126" s="3" t="s">
        <v>37</v>
      </c>
      <c r="I126" s="6">
        <v>44713</v>
      </c>
      <c r="J126" s="4">
        <v>0</v>
      </c>
      <c r="K126" s="4">
        <v>0</v>
      </c>
      <c r="L126" s="4">
        <v>21.507000000000001</v>
      </c>
      <c r="M126" s="4">
        <v>11.069652899999999</v>
      </c>
      <c r="N126" s="4">
        <v>0</v>
      </c>
      <c r="O126" s="4">
        <v>0</v>
      </c>
      <c r="P126" s="4">
        <v>0</v>
      </c>
      <c r="Q126" s="3" t="s">
        <v>56</v>
      </c>
      <c r="R126" s="3">
        <v>0</v>
      </c>
      <c r="S126" s="3" t="s">
        <v>162</v>
      </c>
      <c r="U126" s="3">
        <v>0</v>
      </c>
      <c r="V126" s="3">
        <v>33</v>
      </c>
      <c r="W126" s="3">
        <v>0</v>
      </c>
    </row>
    <row r="127" spans="1:23" ht="11.25" customHeight="1" x14ac:dyDescent="0.25">
      <c r="A127" s="3" t="s">
        <v>21</v>
      </c>
      <c r="B127" s="3" t="s">
        <v>35</v>
      </c>
      <c r="C127" s="3" t="s">
        <v>36</v>
      </c>
      <c r="D127" s="3" t="s">
        <v>34</v>
      </c>
      <c r="E127" s="3" t="s">
        <v>25</v>
      </c>
      <c r="F127" s="3" t="s">
        <v>55</v>
      </c>
      <c r="G127" s="3" t="s">
        <v>25</v>
      </c>
      <c r="H127" s="3" t="s">
        <v>37</v>
      </c>
      <c r="I127" s="6">
        <v>44743</v>
      </c>
      <c r="J127" s="4">
        <v>0</v>
      </c>
      <c r="K127" s="4">
        <v>0</v>
      </c>
      <c r="L127" s="4">
        <v>23.550999999999998</v>
      </c>
      <c r="M127" s="4">
        <v>12.121699700000001</v>
      </c>
      <c r="N127" s="4">
        <v>0</v>
      </c>
      <c r="O127" s="4">
        <v>0</v>
      </c>
      <c r="P127" s="4">
        <v>0</v>
      </c>
      <c r="Q127" s="3" t="s">
        <v>56</v>
      </c>
      <c r="R127" s="3">
        <v>0</v>
      </c>
      <c r="S127" s="3" t="s">
        <v>163</v>
      </c>
      <c r="U127" s="3">
        <v>0</v>
      </c>
      <c r="V127" s="3">
        <v>33</v>
      </c>
      <c r="W127" s="3">
        <v>0</v>
      </c>
    </row>
    <row r="128" spans="1:23" ht="11.25" customHeight="1" x14ac:dyDescent="0.25">
      <c r="A128" s="3" t="s">
        <v>21</v>
      </c>
      <c r="B128" s="3" t="s">
        <v>35</v>
      </c>
      <c r="C128" s="3" t="s">
        <v>36</v>
      </c>
      <c r="D128" s="3" t="s">
        <v>34</v>
      </c>
      <c r="E128" s="3" t="s">
        <v>25</v>
      </c>
      <c r="F128" s="3" t="s">
        <v>55</v>
      </c>
      <c r="G128" s="3" t="s">
        <v>25</v>
      </c>
      <c r="H128" s="3" t="s">
        <v>37</v>
      </c>
      <c r="I128" s="6">
        <v>44774</v>
      </c>
      <c r="J128" s="4">
        <v>0</v>
      </c>
      <c r="K128" s="4">
        <v>0</v>
      </c>
      <c r="L128" s="4">
        <v>31.175999999999998</v>
      </c>
      <c r="M128" s="4">
        <v>16.046287199999998</v>
      </c>
      <c r="N128" s="4">
        <v>0</v>
      </c>
      <c r="O128" s="4">
        <v>0</v>
      </c>
      <c r="P128" s="4">
        <v>0</v>
      </c>
      <c r="Q128" s="3" t="s">
        <v>56</v>
      </c>
      <c r="R128" s="3">
        <v>0</v>
      </c>
      <c r="S128" s="3" t="s">
        <v>164</v>
      </c>
      <c r="U128" s="3">
        <v>0</v>
      </c>
      <c r="V128" s="3">
        <v>33</v>
      </c>
      <c r="W128" s="3">
        <v>0</v>
      </c>
    </row>
    <row r="129" spans="1:23" ht="11.25" customHeight="1" x14ac:dyDescent="0.25">
      <c r="A129" s="3" t="s">
        <v>21</v>
      </c>
      <c r="B129" s="3" t="s">
        <v>35</v>
      </c>
      <c r="C129" s="3" t="s">
        <v>36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44440</v>
      </c>
      <c r="J129" s="4">
        <v>0</v>
      </c>
      <c r="K129" s="4">
        <v>0</v>
      </c>
      <c r="L129" s="4">
        <v>549.95100000000002</v>
      </c>
      <c r="M129" s="4">
        <v>549.95100000000002</v>
      </c>
      <c r="N129" s="4">
        <v>549.95100000000002</v>
      </c>
      <c r="O129" s="4">
        <v>549.95100000000002</v>
      </c>
      <c r="P129" s="4">
        <v>0</v>
      </c>
      <c r="Q129" s="3" t="s">
        <v>26</v>
      </c>
      <c r="R129" s="3">
        <v>0</v>
      </c>
      <c r="S129" s="3" t="s">
        <v>129</v>
      </c>
      <c r="T129" s="3" t="s">
        <v>274</v>
      </c>
      <c r="U129" s="3">
        <v>0</v>
      </c>
      <c r="V129" s="3">
        <v>15</v>
      </c>
      <c r="W129" s="3">
        <v>67</v>
      </c>
    </row>
    <row r="130" spans="1:23" ht="11.25" customHeight="1" x14ac:dyDescent="0.25">
      <c r="A130" s="3" t="s">
        <v>21</v>
      </c>
      <c r="B130" s="3" t="s">
        <v>35</v>
      </c>
      <c r="C130" s="3" t="s">
        <v>36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44470</v>
      </c>
      <c r="J130" s="4">
        <v>0</v>
      </c>
      <c r="K130" s="4">
        <v>0</v>
      </c>
      <c r="L130" s="4">
        <v>534.697</v>
      </c>
      <c r="M130" s="4">
        <v>534.697</v>
      </c>
      <c r="N130" s="4">
        <v>534.697</v>
      </c>
      <c r="O130" s="4">
        <v>534.697</v>
      </c>
      <c r="P130" s="4">
        <v>0</v>
      </c>
      <c r="Q130" s="3" t="s">
        <v>26</v>
      </c>
      <c r="R130" s="3">
        <v>0</v>
      </c>
      <c r="S130" s="3" t="s">
        <v>130</v>
      </c>
      <c r="T130" s="3" t="s">
        <v>275</v>
      </c>
      <c r="U130" s="3">
        <v>0</v>
      </c>
      <c r="V130" s="3">
        <v>15</v>
      </c>
      <c r="W130" s="3">
        <v>67</v>
      </c>
    </row>
    <row r="131" spans="1:23" ht="11.25" customHeight="1" x14ac:dyDescent="0.25">
      <c r="A131" s="3" t="s">
        <v>21</v>
      </c>
      <c r="B131" s="3" t="s">
        <v>35</v>
      </c>
      <c r="C131" s="3" t="s">
        <v>36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44501</v>
      </c>
      <c r="J131" s="4">
        <v>0</v>
      </c>
      <c r="K131" s="4">
        <v>0</v>
      </c>
      <c r="L131" s="4">
        <v>546.779</v>
      </c>
      <c r="M131" s="4">
        <v>546.779</v>
      </c>
      <c r="N131" s="4">
        <v>546.779</v>
      </c>
      <c r="O131" s="4">
        <v>546.779</v>
      </c>
      <c r="P131" s="4">
        <v>0</v>
      </c>
      <c r="Q131" s="3" t="s">
        <v>26</v>
      </c>
      <c r="R131" s="3">
        <v>0</v>
      </c>
      <c r="S131" s="3" t="s">
        <v>131</v>
      </c>
      <c r="T131" s="3" t="s">
        <v>276</v>
      </c>
      <c r="U131" s="3">
        <v>0</v>
      </c>
      <c r="V131" s="3">
        <v>15</v>
      </c>
      <c r="W131" s="3">
        <v>67</v>
      </c>
    </row>
    <row r="132" spans="1:23" ht="11.25" customHeight="1" x14ac:dyDescent="0.25">
      <c r="A132" s="3" t="s">
        <v>21</v>
      </c>
      <c r="B132" s="3" t="s">
        <v>35</v>
      </c>
      <c r="C132" s="3" t="s">
        <v>36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44531</v>
      </c>
      <c r="J132" s="4">
        <v>0</v>
      </c>
      <c r="K132" s="4">
        <v>0</v>
      </c>
      <c r="L132" s="4">
        <v>448.85599999999999</v>
      </c>
      <c r="M132" s="4">
        <v>448.85599999999999</v>
      </c>
      <c r="N132" s="4">
        <v>448.85599999999999</v>
      </c>
      <c r="O132" s="4">
        <v>448.85599999999999</v>
      </c>
      <c r="P132" s="4">
        <v>0</v>
      </c>
      <c r="Q132" s="3" t="s">
        <v>26</v>
      </c>
      <c r="R132" s="3">
        <v>0</v>
      </c>
      <c r="S132" s="3" t="s">
        <v>132</v>
      </c>
      <c r="T132" s="3" t="s">
        <v>277</v>
      </c>
      <c r="U132" s="3">
        <v>0</v>
      </c>
      <c r="V132" s="3">
        <v>15</v>
      </c>
      <c r="W132" s="3">
        <v>67</v>
      </c>
    </row>
    <row r="133" spans="1:23" ht="11.25" customHeight="1" x14ac:dyDescent="0.25">
      <c r="A133" s="3" t="s">
        <v>21</v>
      </c>
      <c r="B133" s="3" t="s">
        <v>35</v>
      </c>
      <c r="C133" s="3" t="s">
        <v>36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44562</v>
      </c>
      <c r="J133" s="4">
        <v>0</v>
      </c>
      <c r="K133" s="4">
        <v>0</v>
      </c>
      <c r="L133" s="4">
        <v>556.86699999999996</v>
      </c>
      <c r="M133" s="4">
        <v>556.86699999999996</v>
      </c>
      <c r="N133" s="4">
        <v>556.86699999999996</v>
      </c>
      <c r="O133" s="4">
        <v>556.86699999999996</v>
      </c>
      <c r="P133" s="4">
        <v>0</v>
      </c>
      <c r="Q133" s="3" t="s">
        <v>26</v>
      </c>
      <c r="R133" s="3">
        <v>0</v>
      </c>
      <c r="S133" s="3" t="s">
        <v>133</v>
      </c>
      <c r="T133" s="3" t="s">
        <v>278</v>
      </c>
      <c r="U133" s="3">
        <v>0</v>
      </c>
      <c r="V133" s="3">
        <v>15</v>
      </c>
      <c r="W133" s="3">
        <v>67</v>
      </c>
    </row>
    <row r="134" spans="1:23" ht="11.25" customHeight="1" x14ac:dyDescent="0.25">
      <c r="A134" s="3" t="s">
        <v>21</v>
      </c>
      <c r="B134" s="3" t="s">
        <v>35</v>
      </c>
      <c r="C134" s="3" t="s">
        <v>36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38</v>
      </c>
      <c r="I134" s="6">
        <v>44593</v>
      </c>
      <c r="J134" s="4">
        <v>0</v>
      </c>
      <c r="K134" s="4">
        <v>0</v>
      </c>
      <c r="L134" s="4">
        <v>572.27</v>
      </c>
      <c r="M134" s="4">
        <v>572.27</v>
      </c>
      <c r="N134" s="4">
        <v>572.27</v>
      </c>
      <c r="O134" s="4">
        <v>572.27</v>
      </c>
      <c r="P134" s="4">
        <v>0</v>
      </c>
      <c r="Q134" s="3" t="s">
        <v>26</v>
      </c>
      <c r="R134" s="3">
        <v>0</v>
      </c>
      <c r="S134" s="3" t="s">
        <v>134</v>
      </c>
      <c r="T134" s="3" t="s">
        <v>279</v>
      </c>
      <c r="U134" s="3">
        <v>0</v>
      </c>
      <c r="V134" s="3">
        <v>15</v>
      </c>
      <c r="W134" s="3">
        <v>67</v>
      </c>
    </row>
    <row r="135" spans="1:23" ht="11.25" customHeight="1" x14ac:dyDescent="0.25">
      <c r="A135" s="3" t="s">
        <v>21</v>
      </c>
      <c r="B135" s="3" t="s">
        <v>35</v>
      </c>
      <c r="C135" s="3" t="s">
        <v>36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38</v>
      </c>
      <c r="I135" s="6">
        <v>44621</v>
      </c>
      <c r="J135" s="4">
        <v>0</v>
      </c>
      <c r="K135" s="4">
        <v>0</v>
      </c>
      <c r="L135" s="4">
        <v>547.15</v>
      </c>
      <c r="M135" s="4">
        <v>547.15</v>
      </c>
      <c r="N135" s="4">
        <v>547.15</v>
      </c>
      <c r="O135" s="4">
        <v>547.15</v>
      </c>
      <c r="P135" s="4">
        <v>0</v>
      </c>
      <c r="Q135" s="3" t="s">
        <v>26</v>
      </c>
      <c r="R135" s="3">
        <v>0</v>
      </c>
      <c r="S135" s="3" t="s">
        <v>135</v>
      </c>
      <c r="T135" s="3" t="s">
        <v>280</v>
      </c>
      <c r="U135" s="3">
        <v>0</v>
      </c>
      <c r="V135" s="3">
        <v>15</v>
      </c>
      <c r="W135" s="3">
        <v>67</v>
      </c>
    </row>
    <row r="136" spans="1:23" ht="11.25" customHeight="1" x14ac:dyDescent="0.25">
      <c r="A136" s="3" t="s">
        <v>21</v>
      </c>
      <c r="B136" s="3" t="s">
        <v>35</v>
      </c>
      <c r="C136" s="3" t="s">
        <v>36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38</v>
      </c>
      <c r="I136" s="6">
        <v>44652</v>
      </c>
      <c r="J136" s="4">
        <v>0</v>
      </c>
      <c r="K136" s="4">
        <v>0</v>
      </c>
      <c r="L136" s="4">
        <v>617.101</v>
      </c>
      <c r="M136" s="4">
        <v>617.101</v>
      </c>
      <c r="N136" s="4">
        <v>617.101</v>
      </c>
      <c r="O136" s="4">
        <v>617.101</v>
      </c>
      <c r="P136" s="4">
        <v>0</v>
      </c>
      <c r="Q136" s="3" t="s">
        <v>26</v>
      </c>
      <c r="R136" s="3">
        <v>0</v>
      </c>
      <c r="S136" s="3" t="s">
        <v>136</v>
      </c>
      <c r="T136" s="3" t="s">
        <v>281</v>
      </c>
      <c r="U136" s="3">
        <v>0</v>
      </c>
      <c r="V136" s="3">
        <v>15</v>
      </c>
      <c r="W136" s="3">
        <v>67</v>
      </c>
    </row>
    <row r="137" spans="1:23" ht="11.25" customHeight="1" x14ac:dyDescent="0.25">
      <c r="A137" s="3" t="s">
        <v>21</v>
      </c>
      <c r="B137" s="3" t="s">
        <v>35</v>
      </c>
      <c r="C137" s="3" t="s">
        <v>36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38</v>
      </c>
      <c r="I137" s="6">
        <v>44682</v>
      </c>
      <c r="J137" s="4">
        <v>0</v>
      </c>
      <c r="K137" s="4">
        <v>0</v>
      </c>
      <c r="L137" s="4">
        <v>576.65700000000004</v>
      </c>
      <c r="M137" s="4">
        <v>576.65700000000004</v>
      </c>
      <c r="N137" s="4">
        <v>576.65700000000004</v>
      </c>
      <c r="O137" s="4">
        <v>576.65700000000004</v>
      </c>
      <c r="P137" s="4">
        <v>0</v>
      </c>
      <c r="Q137" s="3" t="s">
        <v>26</v>
      </c>
      <c r="R137" s="3">
        <v>0</v>
      </c>
      <c r="S137" s="3" t="s">
        <v>137</v>
      </c>
      <c r="T137" s="3" t="s">
        <v>282</v>
      </c>
      <c r="U137" s="3">
        <v>0</v>
      </c>
      <c r="V137" s="3">
        <v>15</v>
      </c>
      <c r="W137" s="3">
        <v>67</v>
      </c>
    </row>
    <row r="138" spans="1:23" ht="11.25" customHeight="1" x14ac:dyDescent="0.25">
      <c r="A138" s="3" t="s">
        <v>21</v>
      </c>
      <c r="B138" s="3" t="s">
        <v>35</v>
      </c>
      <c r="C138" s="3" t="s">
        <v>36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38</v>
      </c>
      <c r="I138" s="6">
        <v>44713</v>
      </c>
      <c r="J138" s="4">
        <v>0</v>
      </c>
      <c r="K138" s="4">
        <v>0</v>
      </c>
      <c r="L138" s="4">
        <v>556.83199999999999</v>
      </c>
      <c r="M138" s="4">
        <v>556.83199999999999</v>
      </c>
      <c r="N138" s="4">
        <v>556.83199999999999</v>
      </c>
      <c r="O138" s="4">
        <v>556.83199999999999</v>
      </c>
      <c r="P138" s="4">
        <v>0</v>
      </c>
      <c r="Q138" s="3" t="s">
        <v>26</v>
      </c>
      <c r="R138" s="3">
        <v>0</v>
      </c>
      <c r="S138" s="3" t="s">
        <v>138</v>
      </c>
      <c r="T138" s="3" t="s">
        <v>283</v>
      </c>
      <c r="U138" s="3">
        <v>0</v>
      </c>
      <c r="V138" s="3">
        <v>15</v>
      </c>
      <c r="W138" s="3">
        <v>67</v>
      </c>
    </row>
    <row r="139" spans="1:23" ht="11.25" customHeight="1" x14ac:dyDescent="0.25">
      <c r="A139" s="3" t="s">
        <v>21</v>
      </c>
      <c r="B139" s="3" t="s">
        <v>35</v>
      </c>
      <c r="C139" s="3" t="s">
        <v>36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38</v>
      </c>
      <c r="I139" s="6">
        <v>44743</v>
      </c>
      <c r="J139" s="4">
        <v>0</v>
      </c>
      <c r="K139" s="4">
        <v>0</v>
      </c>
      <c r="L139" s="4">
        <v>480.21699999999998</v>
      </c>
      <c r="M139" s="4">
        <v>480.21699999999998</v>
      </c>
      <c r="N139" s="4">
        <v>480.21699999999998</v>
      </c>
      <c r="O139" s="4">
        <v>480.21699999999998</v>
      </c>
      <c r="P139" s="4">
        <v>0</v>
      </c>
      <c r="Q139" s="3" t="s">
        <v>26</v>
      </c>
      <c r="R139" s="3">
        <v>0</v>
      </c>
      <c r="S139" s="3" t="s">
        <v>139</v>
      </c>
      <c r="T139" s="3" t="s">
        <v>284</v>
      </c>
      <c r="U139" s="3">
        <v>0</v>
      </c>
      <c r="V139" s="3">
        <v>15</v>
      </c>
      <c r="W139" s="3">
        <v>67</v>
      </c>
    </row>
    <row r="140" spans="1:23" ht="11.25" customHeight="1" x14ac:dyDescent="0.25">
      <c r="A140" s="3" t="s">
        <v>21</v>
      </c>
      <c r="B140" s="3" t="s">
        <v>35</v>
      </c>
      <c r="C140" s="3" t="s">
        <v>36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38</v>
      </c>
      <c r="I140" s="6">
        <v>44774</v>
      </c>
      <c r="J140" s="4">
        <v>0</v>
      </c>
      <c r="K140" s="4">
        <v>0</v>
      </c>
      <c r="L140" s="4">
        <v>500.18200000000002</v>
      </c>
      <c r="M140" s="4">
        <v>500.18200000000002</v>
      </c>
      <c r="N140" s="4">
        <v>500.18200000000002</v>
      </c>
      <c r="O140" s="4">
        <v>500.18200000000002</v>
      </c>
      <c r="P140" s="4">
        <v>0</v>
      </c>
      <c r="Q140" s="3" t="s">
        <v>26</v>
      </c>
      <c r="R140" s="3">
        <v>0</v>
      </c>
      <c r="S140" s="3" t="s">
        <v>140</v>
      </c>
      <c r="T140" s="3" t="s">
        <v>285</v>
      </c>
      <c r="U140" s="3">
        <v>0</v>
      </c>
      <c r="V140" s="3">
        <v>15</v>
      </c>
      <c r="W140" s="3">
        <v>67</v>
      </c>
    </row>
    <row r="141" spans="1:23" ht="11.25" customHeight="1" x14ac:dyDescent="0.25">
      <c r="A141" s="3" t="s">
        <v>21</v>
      </c>
      <c r="B141" s="3" t="s">
        <v>35</v>
      </c>
      <c r="C141" s="3" t="s">
        <v>36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44440</v>
      </c>
      <c r="J141" s="4">
        <v>4006</v>
      </c>
      <c r="K141" s="4">
        <v>4006</v>
      </c>
      <c r="L141" s="4">
        <v>0</v>
      </c>
      <c r="M141" s="4">
        <v>0</v>
      </c>
      <c r="N141" s="4">
        <v>0</v>
      </c>
      <c r="O141" s="4">
        <v>0</v>
      </c>
      <c r="P141" s="4">
        <v>12</v>
      </c>
      <c r="Q141" s="3" t="s">
        <v>26</v>
      </c>
      <c r="R141" s="3">
        <v>0</v>
      </c>
      <c r="S141" s="3" t="s">
        <v>141</v>
      </c>
      <c r="U141" s="3">
        <v>22</v>
      </c>
      <c r="V141" s="3">
        <v>0</v>
      </c>
      <c r="W141" s="3">
        <v>0</v>
      </c>
    </row>
    <row r="142" spans="1:23" ht="11.25" customHeight="1" x14ac:dyDescent="0.25">
      <c r="A142" s="3" t="s">
        <v>21</v>
      </c>
      <c r="B142" s="3" t="s">
        <v>35</v>
      </c>
      <c r="C142" s="3" t="s">
        <v>36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44470</v>
      </c>
      <c r="J142" s="4">
        <v>4040</v>
      </c>
      <c r="K142" s="4">
        <v>4040</v>
      </c>
      <c r="L142" s="4">
        <v>0</v>
      </c>
      <c r="M142" s="4">
        <v>0</v>
      </c>
      <c r="N142" s="4">
        <v>0</v>
      </c>
      <c r="O142" s="4">
        <v>0</v>
      </c>
      <c r="P142" s="4">
        <v>12</v>
      </c>
      <c r="Q142" s="3" t="s">
        <v>26</v>
      </c>
      <c r="R142" s="3">
        <v>0</v>
      </c>
      <c r="S142" s="3" t="s">
        <v>142</v>
      </c>
      <c r="U142" s="3">
        <v>22</v>
      </c>
      <c r="V142" s="3">
        <v>0</v>
      </c>
      <c r="W142" s="3">
        <v>0</v>
      </c>
    </row>
    <row r="143" spans="1:23" ht="11.25" customHeight="1" x14ac:dyDescent="0.25">
      <c r="A143" s="3" t="s">
        <v>21</v>
      </c>
      <c r="B143" s="3" t="s">
        <v>35</v>
      </c>
      <c r="C143" s="3" t="s">
        <v>36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44501</v>
      </c>
      <c r="J143" s="4">
        <v>4135</v>
      </c>
      <c r="K143" s="4">
        <v>4135</v>
      </c>
      <c r="L143" s="4">
        <v>0</v>
      </c>
      <c r="M143" s="4">
        <v>0</v>
      </c>
      <c r="N143" s="4">
        <v>0</v>
      </c>
      <c r="O143" s="4">
        <v>0</v>
      </c>
      <c r="P143" s="4">
        <v>12</v>
      </c>
      <c r="Q143" s="3" t="s">
        <v>26</v>
      </c>
      <c r="R143" s="3">
        <v>0</v>
      </c>
      <c r="S143" s="3" t="s">
        <v>143</v>
      </c>
      <c r="U143" s="3">
        <v>22</v>
      </c>
      <c r="V143" s="3">
        <v>0</v>
      </c>
      <c r="W143" s="3">
        <v>0</v>
      </c>
    </row>
    <row r="144" spans="1:23" ht="11.25" customHeight="1" x14ac:dyDescent="0.25">
      <c r="A144" s="3" t="s">
        <v>21</v>
      </c>
      <c r="B144" s="3" t="s">
        <v>35</v>
      </c>
      <c r="C144" s="3" t="s">
        <v>36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44531</v>
      </c>
      <c r="J144" s="4">
        <v>4125</v>
      </c>
      <c r="K144" s="4">
        <v>4125</v>
      </c>
      <c r="L144" s="4">
        <v>0</v>
      </c>
      <c r="M144" s="4">
        <v>0</v>
      </c>
      <c r="N144" s="4">
        <v>0</v>
      </c>
      <c r="O144" s="4">
        <v>0</v>
      </c>
      <c r="P144" s="4">
        <v>12</v>
      </c>
      <c r="Q144" s="3" t="s">
        <v>26</v>
      </c>
      <c r="R144" s="3">
        <v>0</v>
      </c>
      <c r="S144" s="3" t="s">
        <v>144</v>
      </c>
      <c r="U144" s="3">
        <v>22</v>
      </c>
      <c r="V144" s="3">
        <v>0</v>
      </c>
      <c r="W144" s="3">
        <v>0</v>
      </c>
    </row>
    <row r="145" spans="1:23" ht="11.25" customHeight="1" x14ac:dyDescent="0.25">
      <c r="A145" s="3" t="s">
        <v>21</v>
      </c>
      <c r="B145" s="3" t="s">
        <v>35</v>
      </c>
      <c r="C145" s="3" t="s">
        <v>36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44562</v>
      </c>
      <c r="J145" s="4">
        <v>4146</v>
      </c>
      <c r="K145" s="4">
        <v>4146</v>
      </c>
      <c r="L145" s="4">
        <v>0</v>
      </c>
      <c r="M145" s="4">
        <v>0</v>
      </c>
      <c r="N145" s="4">
        <v>0</v>
      </c>
      <c r="O145" s="4">
        <v>0</v>
      </c>
      <c r="P145" s="4">
        <v>12</v>
      </c>
      <c r="Q145" s="3" t="s">
        <v>26</v>
      </c>
      <c r="R145" s="3">
        <v>0</v>
      </c>
      <c r="S145" s="3" t="s">
        <v>145</v>
      </c>
      <c r="U145" s="3">
        <v>22</v>
      </c>
      <c r="V145" s="3">
        <v>0</v>
      </c>
      <c r="W145" s="3">
        <v>0</v>
      </c>
    </row>
    <row r="146" spans="1:23" ht="11.25" customHeight="1" x14ac:dyDescent="0.25">
      <c r="A146" s="3" t="s">
        <v>21</v>
      </c>
      <c r="B146" s="3" t="s">
        <v>35</v>
      </c>
      <c r="C146" s="3" t="s">
        <v>36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44593</v>
      </c>
      <c r="J146" s="4">
        <v>4146</v>
      </c>
      <c r="K146" s="4">
        <v>4146</v>
      </c>
      <c r="L146" s="4">
        <v>0</v>
      </c>
      <c r="M146" s="4">
        <v>0</v>
      </c>
      <c r="N146" s="4">
        <v>0</v>
      </c>
      <c r="O146" s="4">
        <v>0</v>
      </c>
      <c r="P146" s="4">
        <v>12</v>
      </c>
      <c r="Q146" s="3" t="s">
        <v>26</v>
      </c>
      <c r="R146" s="3">
        <v>0</v>
      </c>
      <c r="S146" s="3" t="s">
        <v>146</v>
      </c>
      <c r="U146" s="3">
        <v>22</v>
      </c>
      <c r="V146" s="3">
        <v>0</v>
      </c>
      <c r="W146" s="3">
        <v>0</v>
      </c>
    </row>
    <row r="147" spans="1:23" ht="11.25" customHeight="1" x14ac:dyDescent="0.25">
      <c r="A147" s="3" t="s">
        <v>21</v>
      </c>
      <c r="B147" s="3" t="s">
        <v>35</v>
      </c>
      <c r="C147" s="3" t="s">
        <v>36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4127</v>
      </c>
      <c r="K147" s="4">
        <v>4127</v>
      </c>
      <c r="L147" s="4">
        <v>0</v>
      </c>
      <c r="M147" s="4">
        <v>0</v>
      </c>
      <c r="N147" s="4">
        <v>0</v>
      </c>
      <c r="O147" s="4">
        <v>0</v>
      </c>
      <c r="P147" s="4">
        <v>12</v>
      </c>
      <c r="Q147" s="3" t="s">
        <v>26</v>
      </c>
      <c r="R147" s="3">
        <v>0</v>
      </c>
      <c r="S147" s="3" t="s">
        <v>147</v>
      </c>
      <c r="U147" s="3">
        <v>22</v>
      </c>
      <c r="V147" s="3">
        <v>0</v>
      </c>
      <c r="W147" s="3">
        <v>0</v>
      </c>
    </row>
    <row r="148" spans="1:23" ht="11.25" customHeight="1" x14ac:dyDescent="0.25">
      <c r="A148" s="3" t="s">
        <v>21</v>
      </c>
      <c r="B148" s="3" t="s">
        <v>35</v>
      </c>
      <c r="C148" s="3" t="s">
        <v>36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4118</v>
      </c>
      <c r="K148" s="4">
        <v>4118</v>
      </c>
      <c r="L148" s="4">
        <v>0</v>
      </c>
      <c r="M148" s="4">
        <v>0</v>
      </c>
      <c r="N148" s="4">
        <v>0</v>
      </c>
      <c r="O148" s="4">
        <v>0</v>
      </c>
      <c r="P148" s="4">
        <v>12</v>
      </c>
      <c r="Q148" s="3" t="s">
        <v>26</v>
      </c>
      <c r="R148" s="3">
        <v>0</v>
      </c>
      <c r="S148" s="3" t="s">
        <v>148</v>
      </c>
      <c r="U148" s="3">
        <v>22</v>
      </c>
      <c r="V148" s="3">
        <v>0</v>
      </c>
      <c r="W148" s="3">
        <v>0</v>
      </c>
    </row>
    <row r="149" spans="1:23" ht="11.25" customHeight="1" x14ac:dyDescent="0.25">
      <c r="A149" s="3" t="s">
        <v>21</v>
      </c>
      <c r="B149" s="3" t="s">
        <v>35</v>
      </c>
      <c r="C149" s="3" t="s">
        <v>36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3395</v>
      </c>
      <c r="K149" s="4">
        <v>3395</v>
      </c>
      <c r="L149" s="4">
        <v>0</v>
      </c>
      <c r="M149" s="4">
        <v>0</v>
      </c>
      <c r="N149" s="4">
        <v>0</v>
      </c>
      <c r="O149" s="4">
        <v>0</v>
      </c>
      <c r="P149" s="4">
        <v>9</v>
      </c>
      <c r="Q149" s="3" t="s">
        <v>26</v>
      </c>
      <c r="R149" s="3">
        <v>0</v>
      </c>
      <c r="S149" s="3" t="s">
        <v>149</v>
      </c>
      <c r="U149" s="3">
        <v>22</v>
      </c>
      <c r="V149" s="3">
        <v>0</v>
      </c>
      <c r="W149" s="3">
        <v>0</v>
      </c>
    </row>
    <row r="150" spans="1:23" ht="11.25" customHeight="1" x14ac:dyDescent="0.25">
      <c r="A150" s="3" t="s">
        <v>21</v>
      </c>
      <c r="B150" s="3" t="s">
        <v>35</v>
      </c>
      <c r="C150" s="3" t="s">
        <v>36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3398</v>
      </c>
      <c r="K150" s="4">
        <v>3398</v>
      </c>
      <c r="L150" s="4">
        <v>0</v>
      </c>
      <c r="M150" s="4">
        <v>0</v>
      </c>
      <c r="N150" s="4">
        <v>0</v>
      </c>
      <c r="O150" s="4">
        <v>0</v>
      </c>
      <c r="P150" s="4">
        <v>9</v>
      </c>
      <c r="Q150" s="3" t="s">
        <v>26</v>
      </c>
      <c r="R150" s="3">
        <v>0</v>
      </c>
      <c r="S150" s="3" t="s">
        <v>150</v>
      </c>
      <c r="U150" s="3">
        <v>22</v>
      </c>
      <c r="V150" s="3">
        <v>0</v>
      </c>
      <c r="W150" s="3">
        <v>0</v>
      </c>
    </row>
    <row r="151" spans="1:23" ht="11.25" customHeight="1" x14ac:dyDescent="0.25">
      <c r="A151" s="3" t="s">
        <v>21</v>
      </c>
      <c r="B151" s="3" t="s">
        <v>35</v>
      </c>
      <c r="C151" s="3" t="s">
        <v>36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3394</v>
      </c>
      <c r="K151" s="4">
        <v>3394</v>
      </c>
      <c r="L151" s="4">
        <v>0</v>
      </c>
      <c r="M151" s="4">
        <v>0</v>
      </c>
      <c r="N151" s="4">
        <v>0</v>
      </c>
      <c r="O151" s="4">
        <v>0</v>
      </c>
      <c r="P151" s="4">
        <v>9</v>
      </c>
      <c r="Q151" s="3" t="s">
        <v>26</v>
      </c>
      <c r="R151" s="3">
        <v>0</v>
      </c>
      <c r="S151" s="3" t="s">
        <v>151</v>
      </c>
      <c r="U151" s="3">
        <v>22</v>
      </c>
      <c r="V151" s="3">
        <v>0</v>
      </c>
      <c r="W151" s="3">
        <v>0</v>
      </c>
    </row>
    <row r="152" spans="1:23" ht="11.25" customHeight="1" x14ac:dyDescent="0.25">
      <c r="A152" s="3" t="s">
        <v>21</v>
      </c>
      <c r="B152" s="3" t="s">
        <v>35</v>
      </c>
      <c r="C152" s="3" t="s">
        <v>36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3416</v>
      </c>
      <c r="K152" s="4">
        <v>3416</v>
      </c>
      <c r="L152" s="4">
        <v>0</v>
      </c>
      <c r="M152" s="4">
        <v>0</v>
      </c>
      <c r="N152" s="4">
        <v>0</v>
      </c>
      <c r="O152" s="4">
        <v>0</v>
      </c>
      <c r="P152" s="4">
        <v>9</v>
      </c>
      <c r="Q152" s="3" t="s">
        <v>26</v>
      </c>
      <c r="R152" s="3">
        <v>0</v>
      </c>
      <c r="S152" s="3" t="s">
        <v>152</v>
      </c>
      <c r="U152" s="3">
        <v>22</v>
      </c>
      <c r="V152" s="3">
        <v>0</v>
      </c>
      <c r="W152" s="3">
        <v>0</v>
      </c>
    </row>
    <row r="153" spans="1:23" ht="11.25" customHeight="1" x14ac:dyDescent="0.25">
      <c r="A153" s="3" t="s">
        <v>21</v>
      </c>
      <c r="B153" s="3" t="s">
        <v>35</v>
      </c>
      <c r="C153" s="3" t="s">
        <v>36</v>
      </c>
      <c r="D153" s="3" t="s">
        <v>34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44440</v>
      </c>
      <c r="J153" s="4">
        <v>0</v>
      </c>
      <c r="K153" s="4">
        <v>0</v>
      </c>
      <c r="L153" s="4">
        <v>5.6669999999999998</v>
      </c>
      <c r="M153" s="4">
        <v>5.6669999999999998</v>
      </c>
      <c r="N153" s="4">
        <v>5.6669999999999998</v>
      </c>
      <c r="O153" s="4">
        <v>5.6669999999999998</v>
      </c>
      <c r="P153" s="4">
        <v>0</v>
      </c>
      <c r="Q153" s="3" t="s">
        <v>26</v>
      </c>
      <c r="R153" s="3">
        <v>0</v>
      </c>
      <c r="S153" s="3" t="s">
        <v>153</v>
      </c>
      <c r="T153" s="3" t="s">
        <v>290</v>
      </c>
      <c r="U153" s="3">
        <v>0</v>
      </c>
      <c r="V153" s="3">
        <v>33</v>
      </c>
      <c r="W153" s="3">
        <v>51</v>
      </c>
    </row>
    <row r="154" spans="1:23" ht="11.25" customHeight="1" x14ac:dyDescent="0.25">
      <c r="A154" s="3" t="s">
        <v>21</v>
      </c>
      <c r="B154" s="3" t="s">
        <v>35</v>
      </c>
      <c r="C154" s="3" t="s">
        <v>36</v>
      </c>
      <c r="D154" s="3" t="s">
        <v>34</v>
      </c>
      <c r="E154" s="3" t="s">
        <v>25</v>
      </c>
      <c r="F154" s="3" t="s">
        <v>25</v>
      </c>
      <c r="G154" s="3" t="s">
        <v>25</v>
      </c>
      <c r="H154" s="3" t="s">
        <v>37</v>
      </c>
      <c r="I154" s="6">
        <v>44470</v>
      </c>
      <c r="J154" s="4">
        <v>0</v>
      </c>
      <c r="K154" s="4">
        <v>0</v>
      </c>
      <c r="L154" s="4">
        <v>10.252000000000001</v>
      </c>
      <c r="M154" s="4">
        <v>10.252000000000001</v>
      </c>
      <c r="N154" s="4">
        <v>10.252000000000001</v>
      </c>
      <c r="O154" s="4">
        <v>10.252000000000001</v>
      </c>
      <c r="P154" s="4">
        <v>0</v>
      </c>
      <c r="Q154" s="3" t="s">
        <v>26</v>
      </c>
      <c r="R154" s="3">
        <v>0</v>
      </c>
      <c r="S154" s="3" t="s">
        <v>154</v>
      </c>
      <c r="T154" s="3" t="s">
        <v>291</v>
      </c>
      <c r="U154" s="3">
        <v>0</v>
      </c>
      <c r="V154" s="3">
        <v>33</v>
      </c>
      <c r="W154" s="3">
        <v>51</v>
      </c>
    </row>
    <row r="155" spans="1:23" ht="11.25" customHeight="1" x14ac:dyDescent="0.25">
      <c r="A155" s="3" t="s">
        <v>21</v>
      </c>
      <c r="B155" s="3" t="s">
        <v>35</v>
      </c>
      <c r="C155" s="3" t="s">
        <v>36</v>
      </c>
      <c r="D155" s="3" t="s">
        <v>34</v>
      </c>
      <c r="E155" s="3" t="s">
        <v>25</v>
      </c>
      <c r="F155" s="3" t="s">
        <v>25</v>
      </c>
      <c r="G155" s="3" t="s">
        <v>25</v>
      </c>
      <c r="H155" s="3" t="s">
        <v>37</v>
      </c>
      <c r="I155" s="6">
        <v>44501</v>
      </c>
      <c r="J155" s="4">
        <v>0</v>
      </c>
      <c r="K155" s="4">
        <v>0</v>
      </c>
      <c r="L155" s="4">
        <v>8.1809999999999992</v>
      </c>
      <c r="M155" s="4">
        <v>8.1809999999999992</v>
      </c>
      <c r="N155" s="4">
        <v>8.1809999999999992</v>
      </c>
      <c r="O155" s="4">
        <v>8.1809999999999992</v>
      </c>
      <c r="P155" s="4">
        <v>0</v>
      </c>
      <c r="Q155" s="3" t="s">
        <v>26</v>
      </c>
      <c r="R155" s="3">
        <v>0</v>
      </c>
      <c r="S155" s="3" t="s">
        <v>155</v>
      </c>
      <c r="T155" s="3" t="s">
        <v>292</v>
      </c>
      <c r="U155" s="3">
        <v>0</v>
      </c>
      <c r="V155" s="3">
        <v>33</v>
      </c>
      <c r="W155" s="3">
        <v>51</v>
      </c>
    </row>
    <row r="156" spans="1:23" ht="11.25" customHeight="1" x14ac:dyDescent="0.25">
      <c r="A156" s="3" t="s">
        <v>21</v>
      </c>
      <c r="B156" s="3" t="s">
        <v>35</v>
      </c>
      <c r="C156" s="3" t="s">
        <v>36</v>
      </c>
      <c r="D156" s="3" t="s">
        <v>34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44531</v>
      </c>
      <c r="J156" s="4">
        <v>0</v>
      </c>
      <c r="K156" s="4">
        <v>0</v>
      </c>
      <c r="L156" s="4">
        <v>8.7870000000000008</v>
      </c>
      <c r="M156" s="4">
        <v>8.7870000000000008</v>
      </c>
      <c r="N156" s="4">
        <v>8.7870000000000008</v>
      </c>
      <c r="O156" s="4">
        <v>8.7870000000000008</v>
      </c>
      <c r="P156" s="4">
        <v>0</v>
      </c>
      <c r="Q156" s="3" t="s">
        <v>26</v>
      </c>
      <c r="R156" s="3">
        <v>0</v>
      </c>
      <c r="S156" s="3" t="s">
        <v>156</v>
      </c>
      <c r="T156" s="3" t="s">
        <v>293</v>
      </c>
      <c r="U156" s="3">
        <v>0</v>
      </c>
      <c r="V156" s="3">
        <v>33</v>
      </c>
      <c r="W156" s="3">
        <v>51</v>
      </c>
    </row>
    <row r="157" spans="1:23" ht="11.25" customHeight="1" x14ac:dyDescent="0.25">
      <c r="A157" s="3" t="s">
        <v>21</v>
      </c>
      <c r="B157" s="3" t="s">
        <v>35</v>
      </c>
      <c r="C157" s="3" t="s">
        <v>36</v>
      </c>
      <c r="D157" s="3" t="s">
        <v>34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44562</v>
      </c>
      <c r="J157" s="4">
        <v>0</v>
      </c>
      <c r="K157" s="4">
        <v>0</v>
      </c>
      <c r="L157" s="4">
        <v>7.4649999999999999</v>
      </c>
      <c r="M157" s="4">
        <v>7.4649999999999999</v>
      </c>
      <c r="N157" s="4">
        <v>7.4649999999999999</v>
      </c>
      <c r="O157" s="4">
        <v>7.4649999999999999</v>
      </c>
      <c r="P157" s="4">
        <v>0</v>
      </c>
      <c r="Q157" s="3" t="s">
        <v>26</v>
      </c>
      <c r="R157" s="3">
        <v>0</v>
      </c>
      <c r="S157" s="3" t="s">
        <v>157</v>
      </c>
      <c r="T157" s="3" t="s">
        <v>294</v>
      </c>
      <c r="U157" s="3">
        <v>0</v>
      </c>
      <c r="V157" s="3">
        <v>33</v>
      </c>
      <c r="W157" s="3">
        <v>51</v>
      </c>
    </row>
    <row r="158" spans="1:23" ht="11.25" customHeight="1" x14ac:dyDescent="0.25">
      <c r="A158" s="3" t="s">
        <v>21</v>
      </c>
      <c r="B158" s="3" t="s">
        <v>35</v>
      </c>
      <c r="C158" s="3" t="s">
        <v>36</v>
      </c>
      <c r="D158" s="3" t="s">
        <v>34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44593</v>
      </c>
      <c r="J158" s="4">
        <v>0</v>
      </c>
      <c r="K158" s="4">
        <v>0</v>
      </c>
      <c r="L158" s="4">
        <v>7.3520000000000003</v>
      </c>
      <c r="M158" s="4">
        <v>7.3520000000000003</v>
      </c>
      <c r="N158" s="4">
        <v>7.3520000000000003</v>
      </c>
      <c r="O158" s="4">
        <v>7.3520000000000003</v>
      </c>
      <c r="P158" s="4">
        <v>0</v>
      </c>
      <c r="Q158" s="3" t="s">
        <v>26</v>
      </c>
      <c r="R158" s="3">
        <v>0</v>
      </c>
      <c r="S158" s="3" t="s">
        <v>158</v>
      </c>
      <c r="T158" s="3" t="s">
        <v>295</v>
      </c>
      <c r="U158" s="3">
        <v>0</v>
      </c>
      <c r="V158" s="3">
        <v>33</v>
      </c>
      <c r="W158" s="3">
        <v>51</v>
      </c>
    </row>
    <row r="159" spans="1:23" ht="11.25" customHeight="1" x14ac:dyDescent="0.25">
      <c r="A159" s="3" t="s">
        <v>21</v>
      </c>
      <c r="B159" s="3" t="s">
        <v>35</v>
      </c>
      <c r="C159" s="3" t="s">
        <v>36</v>
      </c>
      <c r="D159" s="3" t="s">
        <v>34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44621</v>
      </c>
      <c r="J159" s="4">
        <v>0</v>
      </c>
      <c r="K159" s="4">
        <v>0</v>
      </c>
      <c r="L159" s="4">
        <v>9.6989999999999998</v>
      </c>
      <c r="M159" s="4">
        <v>9.6989999999999998</v>
      </c>
      <c r="N159" s="4">
        <v>9.6989999999999998</v>
      </c>
      <c r="O159" s="4">
        <v>9.6989999999999998</v>
      </c>
      <c r="P159" s="4">
        <v>0</v>
      </c>
      <c r="Q159" s="3" t="s">
        <v>26</v>
      </c>
      <c r="R159" s="3">
        <v>0</v>
      </c>
      <c r="S159" s="3" t="s">
        <v>159</v>
      </c>
      <c r="T159" s="3" t="s">
        <v>296</v>
      </c>
      <c r="U159" s="3">
        <v>0</v>
      </c>
      <c r="V159" s="3">
        <v>33</v>
      </c>
      <c r="W159" s="3">
        <v>51</v>
      </c>
    </row>
    <row r="160" spans="1:23" ht="11.25" customHeight="1" x14ac:dyDescent="0.25">
      <c r="A160" s="3" t="s">
        <v>21</v>
      </c>
      <c r="B160" s="3" t="s">
        <v>35</v>
      </c>
      <c r="C160" s="3" t="s">
        <v>36</v>
      </c>
      <c r="D160" s="3" t="s">
        <v>34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44652</v>
      </c>
      <c r="J160" s="4">
        <v>0</v>
      </c>
      <c r="K160" s="4">
        <v>0</v>
      </c>
      <c r="L160" s="4">
        <v>11.846</v>
      </c>
      <c r="M160" s="4">
        <v>11.846</v>
      </c>
      <c r="N160" s="4">
        <v>11.846</v>
      </c>
      <c r="O160" s="4">
        <v>11.846</v>
      </c>
      <c r="P160" s="4">
        <v>0</v>
      </c>
      <c r="Q160" s="3" t="s">
        <v>26</v>
      </c>
      <c r="R160" s="3">
        <v>0</v>
      </c>
      <c r="S160" s="3" t="s">
        <v>160</v>
      </c>
      <c r="T160" s="3" t="s">
        <v>297</v>
      </c>
      <c r="U160" s="3">
        <v>0</v>
      </c>
      <c r="V160" s="3">
        <v>33</v>
      </c>
      <c r="W160" s="3">
        <v>51</v>
      </c>
    </row>
    <row r="161" spans="1:23" ht="11.25" customHeight="1" x14ac:dyDescent="0.25">
      <c r="A161" s="3" t="s">
        <v>21</v>
      </c>
      <c r="B161" s="3" t="s">
        <v>35</v>
      </c>
      <c r="C161" s="3" t="s">
        <v>36</v>
      </c>
      <c r="D161" s="3" t="s">
        <v>34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44682</v>
      </c>
      <c r="J161" s="4">
        <v>0</v>
      </c>
      <c r="K161" s="4">
        <v>0</v>
      </c>
      <c r="L161" s="4">
        <v>4.2039999999999997</v>
      </c>
      <c r="M161" s="4">
        <v>4.2039999999999997</v>
      </c>
      <c r="N161" s="4">
        <v>4.2039999999999997</v>
      </c>
      <c r="O161" s="4">
        <v>4.2039999999999997</v>
      </c>
      <c r="P161" s="4">
        <v>0</v>
      </c>
      <c r="Q161" s="3" t="s">
        <v>26</v>
      </c>
      <c r="R161" s="3">
        <v>0</v>
      </c>
      <c r="S161" s="3" t="s">
        <v>161</v>
      </c>
      <c r="T161" s="3" t="s">
        <v>298</v>
      </c>
      <c r="U161" s="3">
        <v>0</v>
      </c>
      <c r="V161" s="3">
        <v>33</v>
      </c>
      <c r="W161" s="3">
        <v>51</v>
      </c>
    </row>
    <row r="162" spans="1:23" ht="11.25" customHeight="1" x14ac:dyDescent="0.25">
      <c r="A162" s="3" t="s">
        <v>21</v>
      </c>
      <c r="B162" s="3" t="s">
        <v>35</v>
      </c>
      <c r="C162" s="3" t="s">
        <v>36</v>
      </c>
      <c r="D162" s="3" t="s">
        <v>34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44713</v>
      </c>
      <c r="J162" s="4">
        <v>0</v>
      </c>
      <c r="K162" s="4">
        <v>0</v>
      </c>
      <c r="L162" s="4">
        <v>3.673</v>
      </c>
      <c r="M162" s="4">
        <v>3.673</v>
      </c>
      <c r="N162" s="4">
        <v>3.673</v>
      </c>
      <c r="O162" s="4">
        <v>3.673</v>
      </c>
      <c r="P162" s="4">
        <v>0</v>
      </c>
      <c r="Q162" s="3" t="s">
        <v>26</v>
      </c>
      <c r="R162" s="3">
        <v>0</v>
      </c>
      <c r="S162" s="3" t="s">
        <v>162</v>
      </c>
      <c r="T162" s="3" t="s">
        <v>299</v>
      </c>
      <c r="U162" s="3">
        <v>0</v>
      </c>
      <c r="V162" s="3">
        <v>33</v>
      </c>
      <c r="W162" s="3">
        <v>51</v>
      </c>
    </row>
    <row r="163" spans="1:23" ht="11.25" customHeight="1" x14ac:dyDescent="0.25">
      <c r="A163" s="3" t="s">
        <v>21</v>
      </c>
      <c r="B163" s="3" t="s">
        <v>35</v>
      </c>
      <c r="C163" s="3" t="s">
        <v>36</v>
      </c>
      <c r="D163" s="3" t="s">
        <v>34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44743</v>
      </c>
      <c r="J163" s="4">
        <v>0</v>
      </c>
      <c r="K163" s="4">
        <v>0</v>
      </c>
      <c r="L163" s="4">
        <v>3.6440000000000001</v>
      </c>
      <c r="M163" s="4">
        <v>3.6440000000000001</v>
      </c>
      <c r="N163" s="4">
        <v>3.6440000000000001</v>
      </c>
      <c r="O163" s="4">
        <v>3.6440000000000001</v>
      </c>
      <c r="P163" s="4">
        <v>0</v>
      </c>
      <c r="Q163" s="3" t="s">
        <v>26</v>
      </c>
      <c r="R163" s="3">
        <v>0</v>
      </c>
      <c r="S163" s="3" t="s">
        <v>163</v>
      </c>
      <c r="T163" s="3" t="s">
        <v>300</v>
      </c>
      <c r="U163" s="3">
        <v>0</v>
      </c>
      <c r="V163" s="3">
        <v>33</v>
      </c>
      <c r="W163" s="3">
        <v>51</v>
      </c>
    </row>
    <row r="164" spans="1:23" ht="11.25" customHeight="1" x14ac:dyDescent="0.25">
      <c r="A164" s="3" t="s">
        <v>21</v>
      </c>
      <c r="B164" s="3" t="s">
        <v>35</v>
      </c>
      <c r="C164" s="3" t="s">
        <v>36</v>
      </c>
      <c r="D164" s="3" t="s">
        <v>34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44774</v>
      </c>
      <c r="J164" s="4">
        <v>0</v>
      </c>
      <c r="K164" s="4">
        <v>0</v>
      </c>
      <c r="L164" s="4">
        <v>4.8970000000000002</v>
      </c>
      <c r="M164" s="4">
        <v>4.8970000000000002</v>
      </c>
      <c r="N164" s="4">
        <v>4.8970000000000002</v>
      </c>
      <c r="O164" s="4">
        <v>4.8970000000000002</v>
      </c>
      <c r="P164" s="4">
        <v>0</v>
      </c>
      <c r="Q164" s="3" t="s">
        <v>26</v>
      </c>
      <c r="R164" s="3">
        <v>0</v>
      </c>
      <c r="S164" s="3" t="s">
        <v>164</v>
      </c>
      <c r="T164" s="3" t="s">
        <v>301</v>
      </c>
      <c r="U164" s="3">
        <v>0</v>
      </c>
      <c r="V164" s="3">
        <v>33</v>
      </c>
      <c r="W164" s="3">
        <v>51</v>
      </c>
    </row>
    <row r="165" spans="1:23" ht="11.25" customHeight="1" x14ac:dyDescent="0.25">
      <c r="A165" s="3" t="s">
        <v>21</v>
      </c>
      <c r="B165" s="3" t="s">
        <v>35</v>
      </c>
      <c r="C165" s="3" t="s">
        <v>36</v>
      </c>
      <c r="D165" s="3" t="s">
        <v>41</v>
      </c>
      <c r="E165" s="3" t="s">
        <v>50</v>
      </c>
      <c r="F165" s="3" t="s">
        <v>52</v>
      </c>
      <c r="G165" s="3" t="s">
        <v>25</v>
      </c>
      <c r="H165" s="3" t="s">
        <v>38</v>
      </c>
      <c r="I165" s="6">
        <v>44440</v>
      </c>
      <c r="J165" s="4">
        <v>0</v>
      </c>
      <c r="K165" s="4">
        <v>0</v>
      </c>
      <c r="L165" s="4">
        <v>554.65700000000004</v>
      </c>
      <c r="M165" s="4">
        <v>166.39709999999999</v>
      </c>
      <c r="N165" s="4">
        <v>554.65700000000004</v>
      </c>
      <c r="O165" s="4">
        <v>166.39709999999999</v>
      </c>
      <c r="P165" s="4">
        <v>0</v>
      </c>
      <c r="Q165" s="3" t="s">
        <v>26</v>
      </c>
      <c r="R165" s="3">
        <v>0</v>
      </c>
      <c r="S165" s="3" t="s">
        <v>129</v>
      </c>
      <c r="T165" s="3" t="s">
        <v>274</v>
      </c>
      <c r="U165" s="3">
        <v>0</v>
      </c>
      <c r="V165" s="3">
        <v>15</v>
      </c>
      <c r="W165" s="3">
        <v>67</v>
      </c>
    </row>
    <row r="166" spans="1:23" ht="11.25" customHeight="1" x14ac:dyDescent="0.25">
      <c r="A166" s="3" t="s">
        <v>21</v>
      </c>
      <c r="B166" s="3" t="s">
        <v>35</v>
      </c>
      <c r="C166" s="3" t="s">
        <v>36</v>
      </c>
      <c r="D166" s="3" t="s">
        <v>41</v>
      </c>
      <c r="E166" s="3" t="s">
        <v>50</v>
      </c>
      <c r="F166" s="3" t="s">
        <v>52</v>
      </c>
      <c r="G166" s="3" t="s">
        <v>25</v>
      </c>
      <c r="H166" s="3" t="s">
        <v>38</v>
      </c>
      <c r="I166" s="6">
        <v>44470</v>
      </c>
      <c r="J166" s="4">
        <v>0</v>
      </c>
      <c r="K166" s="4">
        <v>0</v>
      </c>
      <c r="L166" s="4">
        <v>206.7</v>
      </c>
      <c r="M166" s="4">
        <v>62.01</v>
      </c>
      <c r="N166" s="4">
        <v>206.7</v>
      </c>
      <c r="O166" s="4">
        <v>62.01</v>
      </c>
      <c r="P166" s="4">
        <v>0</v>
      </c>
      <c r="Q166" s="3" t="s">
        <v>26</v>
      </c>
      <c r="R166" s="3">
        <v>0</v>
      </c>
      <c r="S166" s="3" t="s">
        <v>130</v>
      </c>
      <c r="T166" s="3" t="s">
        <v>275</v>
      </c>
      <c r="U166" s="3">
        <v>0</v>
      </c>
      <c r="V166" s="3">
        <v>15</v>
      </c>
      <c r="W166" s="3">
        <v>67</v>
      </c>
    </row>
    <row r="167" spans="1:23" ht="11.25" customHeight="1" x14ac:dyDescent="0.25">
      <c r="A167" s="3" t="s">
        <v>21</v>
      </c>
      <c r="B167" s="3" t="s">
        <v>35</v>
      </c>
      <c r="C167" s="3" t="s">
        <v>36</v>
      </c>
      <c r="D167" s="3" t="s">
        <v>41</v>
      </c>
      <c r="E167" s="3" t="s">
        <v>50</v>
      </c>
      <c r="F167" s="3" t="s">
        <v>52</v>
      </c>
      <c r="G167" s="3" t="s">
        <v>25</v>
      </c>
      <c r="H167" s="3" t="s">
        <v>38</v>
      </c>
      <c r="I167" s="6">
        <v>44501</v>
      </c>
      <c r="J167" s="4">
        <v>0</v>
      </c>
      <c r="K167" s="4">
        <v>0</v>
      </c>
      <c r="L167" s="4">
        <v>97.808000000000007</v>
      </c>
      <c r="M167" s="4">
        <v>29.342400000000001</v>
      </c>
      <c r="N167" s="4">
        <v>97.808000000000007</v>
      </c>
      <c r="O167" s="4">
        <v>29.342400000000001</v>
      </c>
      <c r="P167" s="4">
        <v>0</v>
      </c>
      <c r="Q167" s="3" t="s">
        <v>26</v>
      </c>
      <c r="R167" s="3">
        <v>0</v>
      </c>
      <c r="S167" s="3" t="s">
        <v>131</v>
      </c>
      <c r="T167" s="3" t="s">
        <v>276</v>
      </c>
      <c r="U167" s="3">
        <v>0</v>
      </c>
      <c r="V167" s="3">
        <v>15</v>
      </c>
      <c r="W167" s="3">
        <v>67</v>
      </c>
    </row>
    <row r="168" spans="1:23" ht="11.25" customHeight="1" x14ac:dyDescent="0.25">
      <c r="A168" s="3" t="s">
        <v>21</v>
      </c>
      <c r="B168" s="3" t="s">
        <v>35</v>
      </c>
      <c r="C168" s="3" t="s">
        <v>36</v>
      </c>
      <c r="D168" s="3" t="s">
        <v>41</v>
      </c>
      <c r="E168" s="3" t="s">
        <v>50</v>
      </c>
      <c r="F168" s="3" t="s">
        <v>52</v>
      </c>
      <c r="G168" s="3" t="s">
        <v>25</v>
      </c>
      <c r="H168" s="3" t="s">
        <v>38</v>
      </c>
      <c r="I168" s="6">
        <v>44531</v>
      </c>
      <c r="J168" s="4">
        <v>0</v>
      </c>
      <c r="K168" s="4">
        <v>0</v>
      </c>
      <c r="L168" s="4">
        <v>49.88</v>
      </c>
      <c r="M168" s="4">
        <v>14.964</v>
      </c>
      <c r="N168" s="4">
        <v>49.88</v>
      </c>
      <c r="O168" s="4">
        <v>14.964</v>
      </c>
      <c r="P168" s="4">
        <v>0</v>
      </c>
      <c r="Q168" s="3" t="s">
        <v>26</v>
      </c>
      <c r="R168" s="3">
        <v>0</v>
      </c>
      <c r="S168" s="3" t="s">
        <v>132</v>
      </c>
      <c r="T168" s="3" t="s">
        <v>277</v>
      </c>
      <c r="U168" s="3">
        <v>0</v>
      </c>
      <c r="V168" s="3">
        <v>15</v>
      </c>
      <c r="W168" s="3">
        <v>67</v>
      </c>
    </row>
    <row r="169" spans="1:23" ht="11.25" customHeight="1" x14ac:dyDescent="0.25">
      <c r="A169" s="3" t="s">
        <v>21</v>
      </c>
      <c r="B169" s="3" t="s">
        <v>35</v>
      </c>
      <c r="C169" s="3" t="s">
        <v>36</v>
      </c>
      <c r="D169" s="3" t="s">
        <v>41</v>
      </c>
      <c r="E169" s="3" t="s">
        <v>50</v>
      </c>
      <c r="F169" s="3" t="s">
        <v>52</v>
      </c>
      <c r="G169" s="3" t="s">
        <v>25</v>
      </c>
      <c r="H169" s="3" t="s">
        <v>38</v>
      </c>
      <c r="I169" s="6">
        <v>44562</v>
      </c>
      <c r="J169" s="4">
        <v>0</v>
      </c>
      <c r="K169" s="4">
        <v>0</v>
      </c>
      <c r="L169" s="4">
        <v>35.671999999999997</v>
      </c>
      <c r="M169" s="4">
        <v>10.701599999999999</v>
      </c>
      <c r="N169" s="4">
        <v>35.671999999999997</v>
      </c>
      <c r="O169" s="4">
        <v>10.701599999999999</v>
      </c>
      <c r="P169" s="4">
        <v>0</v>
      </c>
      <c r="Q169" s="3" t="s">
        <v>26</v>
      </c>
      <c r="R169" s="3">
        <v>0</v>
      </c>
      <c r="S169" s="3" t="s">
        <v>133</v>
      </c>
      <c r="T169" s="3" t="s">
        <v>278</v>
      </c>
      <c r="U169" s="3">
        <v>0</v>
      </c>
      <c r="V169" s="3">
        <v>15</v>
      </c>
      <c r="W169" s="3">
        <v>67</v>
      </c>
    </row>
    <row r="170" spans="1:23" ht="11.25" customHeight="1" x14ac:dyDescent="0.25">
      <c r="A170" s="3" t="s">
        <v>21</v>
      </c>
      <c r="B170" s="3" t="s">
        <v>35</v>
      </c>
      <c r="C170" s="3" t="s">
        <v>36</v>
      </c>
      <c r="D170" s="3" t="s">
        <v>41</v>
      </c>
      <c r="E170" s="3" t="s">
        <v>50</v>
      </c>
      <c r="F170" s="3" t="s">
        <v>52</v>
      </c>
      <c r="G170" s="3" t="s">
        <v>25</v>
      </c>
      <c r="H170" s="3" t="s">
        <v>38</v>
      </c>
      <c r="I170" s="6">
        <v>44593</v>
      </c>
      <c r="J170" s="4">
        <v>0</v>
      </c>
      <c r="K170" s="4">
        <v>0</v>
      </c>
      <c r="L170" s="4">
        <v>72.75</v>
      </c>
      <c r="M170" s="4">
        <v>21.824999999999999</v>
      </c>
      <c r="N170" s="4">
        <v>72.75</v>
      </c>
      <c r="O170" s="4">
        <v>21.824999999999999</v>
      </c>
      <c r="P170" s="4">
        <v>0</v>
      </c>
      <c r="Q170" s="3" t="s">
        <v>26</v>
      </c>
      <c r="R170" s="3">
        <v>0</v>
      </c>
      <c r="S170" s="3" t="s">
        <v>134</v>
      </c>
      <c r="T170" s="3" t="s">
        <v>279</v>
      </c>
      <c r="U170" s="3">
        <v>0</v>
      </c>
      <c r="V170" s="3">
        <v>15</v>
      </c>
      <c r="W170" s="3">
        <v>67</v>
      </c>
    </row>
    <row r="171" spans="1:23" ht="11.25" customHeight="1" x14ac:dyDescent="0.25">
      <c r="A171" s="3" t="s">
        <v>21</v>
      </c>
      <c r="B171" s="3" t="s">
        <v>35</v>
      </c>
      <c r="C171" s="3" t="s">
        <v>36</v>
      </c>
      <c r="D171" s="3" t="s">
        <v>41</v>
      </c>
      <c r="E171" s="3" t="s">
        <v>50</v>
      </c>
      <c r="F171" s="3" t="s">
        <v>52</v>
      </c>
      <c r="G171" s="3" t="s">
        <v>25</v>
      </c>
      <c r="H171" s="3" t="s">
        <v>38</v>
      </c>
      <c r="I171" s="6">
        <v>44621</v>
      </c>
      <c r="J171" s="4">
        <v>0</v>
      </c>
      <c r="K171" s="4">
        <v>0</v>
      </c>
      <c r="L171" s="4">
        <v>84.724000000000004</v>
      </c>
      <c r="M171" s="4">
        <v>25.417200000000001</v>
      </c>
      <c r="N171" s="4">
        <v>84.724000000000004</v>
      </c>
      <c r="O171" s="4">
        <v>25.417200000000001</v>
      </c>
      <c r="P171" s="4">
        <v>0</v>
      </c>
      <c r="Q171" s="3" t="s">
        <v>26</v>
      </c>
      <c r="R171" s="3">
        <v>0</v>
      </c>
      <c r="S171" s="3" t="s">
        <v>135</v>
      </c>
      <c r="T171" s="3" t="s">
        <v>280</v>
      </c>
      <c r="U171" s="3">
        <v>0</v>
      </c>
      <c r="V171" s="3">
        <v>15</v>
      </c>
      <c r="W171" s="3">
        <v>67</v>
      </c>
    </row>
    <row r="172" spans="1:23" ht="11.25" customHeight="1" x14ac:dyDescent="0.25">
      <c r="A172" s="3" t="s">
        <v>21</v>
      </c>
      <c r="B172" s="3" t="s">
        <v>35</v>
      </c>
      <c r="C172" s="3" t="s">
        <v>36</v>
      </c>
      <c r="D172" s="3" t="s">
        <v>41</v>
      </c>
      <c r="E172" s="3" t="s">
        <v>50</v>
      </c>
      <c r="F172" s="3" t="s">
        <v>52</v>
      </c>
      <c r="G172" s="3" t="s">
        <v>25</v>
      </c>
      <c r="H172" s="3" t="s">
        <v>38</v>
      </c>
      <c r="I172" s="6">
        <v>44652</v>
      </c>
      <c r="J172" s="4">
        <v>0</v>
      </c>
      <c r="K172" s="4">
        <v>0</v>
      </c>
      <c r="L172" s="4">
        <v>190.38499999999999</v>
      </c>
      <c r="M172" s="4">
        <v>57.115499999999997</v>
      </c>
      <c r="N172" s="4">
        <v>190.38499999999999</v>
      </c>
      <c r="O172" s="4">
        <v>57.115499999999997</v>
      </c>
      <c r="P172" s="4">
        <v>0</v>
      </c>
      <c r="Q172" s="3" t="s">
        <v>26</v>
      </c>
      <c r="R172" s="3">
        <v>0</v>
      </c>
      <c r="S172" s="3" t="s">
        <v>136</v>
      </c>
      <c r="T172" s="3" t="s">
        <v>281</v>
      </c>
      <c r="U172" s="3">
        <v>0</v>
      </c>
      <c r="V172" s="3">
        <v>15</v>
      </c>
      <c r="W172" s="3">
        <v>67</v>
      </c>
    </row>
    <row r="173" spans="1:23" ht="11.25" customHeight="1" x14ac:dyDescent="0.25">
      <c r="A173" s="3" t="s">
        <v>21</v>
      </c>
      <c r="B173" s="3" t="s">
        <v>35</v>
      </c>
      <c r="C173" s="3" t="s">
        <v>36</v>
      </c>
      <c r="D173" s="3" t="s">
        <v>41</v>
      </c>
      <c r="E173" s="3" t="s">
        <v>50</v>
      </c>
      <c r="F173" s="3" t="s">
        <v>52</v>
      </c>
      <c r="G173" s="3" t="s">
        <v>25</v>
      </c>
      <c r="H173" s="3" t="s">
        <v>38</v>
      </c>
      <c r="I173" s="6">
        <v>44682</v>
      </c>
      <c r="J173" s="4">
        <v>0</v>
      </c>
      <c r="K173" s="4">
        <v>0</v>
      </c>
      <c r="L173" s="4">
        <v>396.86799999999999</v>
      </c>
      <c r="M173" s="4">
        <v>119.0604</v>
      </c>
      <c r="N173" s="4">
        <v>396.86799999999999</v>
      </c>
      <c r="O173" s="4">
        <v>119.0604</v>
      </c>
      <c r="P173" s="4">
        <v>0</v>
      </c>
      <c r="Q173" s="3" t="s">
        <v>26</v>
      </c>
      <c r="R173" s="3">
        <v>0</v>
      </c>
      <c r="S173" s="3" t="s">
        <v>137</v>
      </c>
      <c r="T173" s="3" t="s">
        <v>282</v>
      </c>
      <c r="U173" s="3">
        <v>0</v>
      </c>
      <c r="V173" s="3">
        <v>15</v>
      </c>
      <c r="W173" s="3">
        <v>67</v>
      </c>
    </row>
    <row r="174" spans="1:23" ht="11.25" customHeight="1" x14ac:dyDescent="0.25">
      <c r="A174" s="3" t="s">
        <v>21</v>
      </c>
      <c r="B174" s="3" t="s">
        <v>35</v>
      </c>
      <c r="C174" s="3" t="s">
        <v>36</v>
      </c>
      <c r="D174" s="3" t="s">
        <v>41</v>
      </c>
      <c r="E174" s="3" t="s">
        <v>50</v>
      </c>
      <c r="F174" s="3" t="s">
        <v>52</v>
      </c>
      <c r="G174" s="3" t="s">
        <v>25</v>
      </c>
      <c r="H174" s="3" t="s">
        <v>38</v>
      </c>
      <c r="I174" s="6">
        <v>44713</v>
      </c>
      <c r="J174" s="4">
        <v>0</v>
      </c>
      <c r="K174" s="4">
        <v>0</v>
      </c>
      <c r="L174" s="4">
        <v>112.074</v>
      </c>
      <c r="M174" s="4">
        <v>33.622199999999999</v>
      </c>
      <c r="N174" s="4">
        <v>112.074</v>
      </c>
      <c r="O174" s="4">
        <v>33.622199999999999</v>
      </c>
      <c r="P174" s="4">
        <v>0</v>
      </c>
      <c r="Q174" s="3" t="s">
        <v>26</v>
      </c>
      <c r="R174" s="3">
        <v>0</v>
      </c>
      <c r="S174" s="3" t="s">
        <v>138</v>
      </c>
      <c r="T174" s="3" t="s">
        <v>283</v>
      </c>
      <c r="U174" s="3">
        <v>0</v>
      </c>
      <c r="V174" s="3">
        <v>15</v>
      </c>
      <c r="W174" s="3">
        <v>67</v>
      </c>
    </row>
    <row r="175" spans="1:23" ht="11.25" customHeight="1" x14ac:dyDescent="0.25">
      <c r="A175" s="3" t="s">
        <v>21</v>
      </c>
      <c r="B175" s="3" t="s">
        <v>35</v>
      </c>
      <c r="C175" s="3" t="s">
        <v>36</v>
      </c>
      <c r="D175" s="3" t="s">
        <v>41</v>
      </c>
      <c r="E175" s="3" t="s">
        <v>50</v>
      </c>
      <c r="F175" s="3" t="s">
        <v>52</v>
      </c>
      <c r="G175" s="3" t="s">
        <v>25</v>
      </c>
      <c r="H175" s="3" t="s">
        <v>38</v>
      </c>
      <c r="I175" s="6">
        <v>44743</v>
      </c>
      <c r="J175" s="4">
        <v>0</v>
      </c>
      <c r="K175" s="4">
        <v>0</v>
      </c>
      <c r="L175" s="4">
        <v>295.55399999999997</v>
      </c>
      <c r="M175" s="4">
        <v>88.666200000000003</v>
      </c>
      <c r="N175" s="4">
        <v>295.55399999999997</v>
      </c>
      <c r="O175" s="4">
        <v>88.666200000000003</v>
      </c>
      <c r="P175" s="4">
        <v>0</v>
      </c>
      <c r="Q175" s="3" t="s">
        <v>26</v>
      </c>
      <c r="R175" s="3">
        <v>0</v>
      </c>
      <c r="S175" s="3" t="s">
        <v>139</v>
      </c>
      <c r="T175" s="3" t="s">
        <v>284</v>
      </c>
      <c r="U175" s="3">
        <v>0</v>
      </c>
      <c r="V175" s="3">
        <v>15</v>
      </c>
      <c r="W175" s="3">
        <v>67</v>
      </c>
    </row>
    <row r="176" spans="1:23" ht="11.25" customHeight="1" x14ac:dyDescent="0.25">
      <c r="A176" s="3" t="s">
        <v>21</v>
      </c>
      <c r="B176" s="3" t="s">
        <v>35</v>
      </c>
      <c r="C176" s="3" t="s">
        <v>36</v>
      </c>
      <c r="D176" s="3" t="s">
        <v>41</v>
      </c>
      <c r="E176" s="3" t="s">
        <v>50</v>
      </c>
      <c r="F176" s="3" t="s">
        <v>52</v>
      </c>
      <c r="G176" s="3" t="s">
        <v>25</v>
      </c>
      <c r="H176" s="3" t="s">
        <v>38</v>
      </c>
      <c r="I176" s="6">
        <v>44774</v>
      </c>
      <c r="J176" s="4">
        <v>0</v>
      </c>
      <c r="K176" s="4">
        <v>0</v>
      </c>
      <c r="L176" s="4">
        <v>501.83199999999999</v>
      </c>
      <c r="M176" s="4">
        <v>150.5496</v>
      </c>
      <c r="N176" s="4">
        <v>501.83199999999999</v>
      </c>
      <c r="O176" s="4">
        <v>150.5496</v>
      </c>
      <c r="P176" s="4">
        <v>0</v>
      </c>
      <c r="Q176" s="3" t="s">
        <v>26</v>
      </c>
      <c r="R176" s="3">
        <v>0</v>
      </c>
      <c r="S176" s="3" t="s">
        <v>140</v>
      </c>
      <c r="T176" s="3" t="s">
        <v>285</v>
      </c>
      <c r="U176" s="3">
        <v>0</v>
      </c>
      <c r="V176" s="3">
        <v>15</v>
      </c>
      <c r="W176" s="3">
        <v>67</v>
      </c>
    </row>
    <row r="177" spans="1:23" ht="11.25" customHeight="1" x14ac:dyDescent="0.25">
      <c r="A177" s="3" t="s">
        <v>21</v>
      </c>
      <c r="B177" s="3" t="s">
        <v>35</v>
      </c>
      <c r="C177" s="3" t="s">
        <v>36</v>
      </c>
      <c r="D177" s="3" t="s">
        <v>41</v>
      </c>
      <c r="E177" s="3" t="s">
        <v>50</v>
      </c>
      <c r="F177" s="3" t="s">
        <v>25</v>
      </c>
      <c r="G177" s="3" t="s">
        <v>25</v>
      </c>
      <c r="H177" s="3" t="s">
        <v>38</v>
      </c>
      <c r="I177" s="6">
        <v>44440</v>
      </c>
      <c r="J177" s="4">
        <v>0</v>
      </c>
      <c r="K177" s="4">
        <v>0</v>
      </c>
      <c r="L177" s="4">
        <v>822.55100000000004</v>
      </c>
      <c r="M177" s="4">
        <v>789.64895999999999</v>
      </c>
      <c r="N177" s="4">
        <v>822.55100000000004</v>
      </c>
      <c r="O177" s="4">
        <v>789.64895999999999</v>
      </c>
      <c r="P177" s="4">
        <v>0</v>
      </c>
      <c r="Q177" s="3" t="s">
        <v>26</v>
      </c>
      <c r="R177" s="3">
        <v>0</v>
      </c>
      <c r="S177" s="3" t="s">
        <v>129</v>
      </c>
      <c r="T177" s="3" t="s">
        <v>274</v>
      </c>
      <c r="U177" s="3">
        <v>0</v>
      </c>
      <c r="V177" s="3">
        <v>15</v>
      </c>
      <c r="W177" s="3">
        <v>67</v>
      </c>
    </row>
    <row r="178" spans="1:23" ht="11.25" customHeight="1" x14ac:dyDescent="0.25">
      <c r="A178" s="3" t="s">
        <v>21</v>
      </c>
      <c r="B178" s="3" t="s">
        <v>35</v>
      </c>
      <c r="C178" s="3" t="s">
        <v>36</v>
      </c>
      <c r="D178" s="3" t="s">
        <v>41</v>
      </c>
      <c r="E178" s="3" t="s">
        <v>50</v>
      </c>
      <c r="F178" s="3" t="s">
        <v>25</v>
      </c>
      <c r="G178" s="3" t="s">
        <v>25</v>
      </c>
      <c r="H178" s="3" t="s">
        <v>38</v>
      </c>
      <c r="I178" s="6">
        <v>44470</v>
      </c>
      <c r="J178" s="4">
        <v>0</v>
      </c>
      <c r="K178" s="4">
        <v>0</v>
      </c>
      <c r="L178" s="4">
        <v>357.52100000000002</v>
      </c>
      <c r="M178" s="4">
        <v>343.22016000000002</v>
      </c>
      <c r="N178" s="4">
        <v>357.52100000000002</v>
      </c>
      <c r="O178" s="4">
        <v>343.22016000000002</v>
      </c>
      <c r="P178" s="4">
        <v>0</v>
      </c>
      <c r="Q178" s="3" t="s">
        <v>26</v>
      </c>
      <c r="R178" s="3">
        <v>0</v>
      </c>
      <c r="S178" s="3" t="s">
        <v>130</v>
      </c>
      <c r="T178" s="3" t="s">
        <v>275</v>
      </c>
      <c r="U178" s="3">
        <v>0</v>
      </c>
      <c r="V178" s="3">
        <v>15</v>
      </c>
      <c r="W178" s="3">
        <v>67</v>
      </c>
    </row>
    <row r="179" spans="1:23" ht="11.25" customHeight="1" x14ac:dyDescent="0.25">
      <c r="A179" s="3" t="s">
        <v>21</v>
      </c>
      <c r="B179" s="3" t="s">
        <v>35</v>
      </c>
      <c r="C179" s="3" t="s">
        <v>36</v>
      </c>
      <c r="D179" s="3" t="s">
        <v>41</v>
      </c>
      <c r="E179" s="3" t="s">
        <v>50</v>
      </c>
      <c r="F179" s="3" t="s">
        <v>25</v>
      </c>
      <c r="G179" s="3" t="s">
        <v>25</v>
      </c>
      <c r="H179" s="3" t="s">
        <v>38</v>
      </c>
      <c r="I179" s="6">
        <v>44501</v>
      </c>
      <c r="J179" s="4">
        <v>0</v>
      </c>
      <c r="K179" s="4">
        <v>0</v>
      </c>
      <c r="L179" s="4">
        <v>145.73699999999999</v>
      </c>
      <c r="M179" s="4">
        <v>139.90752000000001</v>
      </c>
      <c r="N179" s="4">
        <v>145.73699999999999</v>
      </c>
      <c r="O179" s="4">
        <v>139.90752000000001</v>
      </c>
      <c r="P179" s="4">
        <v>0</v>
      </c>
      <c r="Q179" s="3" t="s">
        <v>26</v>
      </c>
      <c r="R179" s="3">
        <v>0</v>
      </c>
      <c r="S179" s="3" t="s">
        <v>131</v>
      </c>
      <c r="T179" s="3" t="s">
        <v>276</v>
      </c>
      <c r="U179" s="3">
        <v>0</v>
      </c>
      <c r="V179" s="3">
        <v>15</v>
      </c>
      <c r="W179" s="3">
        <v>67</v>
      </c>
    </row>
    <row r="180" spans="1:23" ht="11.25" customHeight="1" x14ac:dyDescent="0.25">
      <c r="A180" s="3" t="s">
        <v>21</v>
      </c>
      <c r="B180" s="3" t="s">
        <v>35</v>
      </c>
      <c r="C180" s="3" t="s">
        <v>36</v>
      </c>
      <c r="D180" s="3" t="s">
        <v>41</v>
      </c>
      <c r="E180" s="3" t="s">
        <v>50</v>
      </c>
      <c r="F180" s="3" t="s">
        <v>25</v>
      </c>
      <c r="G180" s="3" t="s">
        <v>25</v>
      </c>
      <c r="H180" s="3" t="s">
        <v>38</v>
      </c>
      <c r="I180" s="6">
        <v>44531</v>
      </c>
      <c r="J180" s="4">
        <v>0</v>
      </c>
      <c r="K180" s="4">
        <v>0</v>
      </c>
      <c r="L180" s="4">
        <v>56.844000000000001</v>
      </c>
      <c r="M180" s="4">
        <v>54.570239999999998</v>
      </c>
      <c r="N180" s="4">
        <v>56.844000000000001</v>
      </c>
      <c r="O180" s="4">
        <v>54.570239999999998</v>
      </c>
      <c r="P180" s="4">
        <v>0</v>
      </c>
      <c r="Q180" s="3" t="s">
        <v>26</v>
      </c>
      <c r="R180" s="3">
        <v>0</v>
      </c>
      <c r="S180" s="3" t="s">
        <v>132</v>
      </c>
      <c r="T180" s="3" t="s">
        <v>277</v>
      </c>
      <c r="U180" s="3">
        <v>0</v>
      </c>
      <c r="V180" s="3">
        <v>15</v>
      </c>
      <c r="W180" s="3">
        <v>67</v>
      </c>
    </row>
    <row r="181" spans="1:23" ht="11.25" customHeight="1" x14ac:dyDescent="0.25">
      <c r="A181" s="3" t="s">
        <v>21</v>
      </c>
      <c r="B181" s="3" t="s">
        <v>35</v>
      </c>
      <c r="C181" s="3" t="s">
        <v>36</v>
      </c>
      <c r="D181" s="3" t="s">
        <v>41</v>
      </c>
      <c r="E181" s="3" t="s">
        <v>50</v>
      </c>
      <c r="F181" s="3" t="s">
        <v>25</v>
      </c>
      <c r="G181" s="3" t="s">
        <v>25</v>
      </c>
      <c r="H181" s="3" t="s">
        <v>38</v>
      </c>
      <c r="I181" s="6">
        <v>44562</v>
      </c>
      <c r="J181" s="4">
        <v>0</v>
      </c>
      <c r="K181" s="4">
        <v>0</v>
      </c>
      <c r="L181" s="4">
        <v>53.448999999999998</v>
      </c>
      <c r="M181" s="4">
        <v>51.311039999999998</v>
      </c>
      <c r="N181" s="4">
        <v>53.448999999999998</v>
      </c>
      <c r="O181" s="4">
        <v>51.311039999999998</v>
      </c>
      <c r="P181" s="4">
        <v>0</v>
      </c>
      <c r="Q181" s="3" t="s">
        <v>26</v>
      </c>
      <c r="R181" s="3">
        <v>0</v>
      </c>
      <c r="S181" s="3" t="s">
        <v>133</v>
      </c>
      <c r="T181" s="3" t="s">
        <v>278</v>
      </c>
      <c r="U181" s="3">
        <v>0</v>
      </c>
      <c r="V181" s="3">
        <v>15</v>
      </c>
      <c r="W181" s="3">
        <v>67</v>
      </c>
    </row>
    <row r="182" spans="1:23" ht="11.25" customHeight="1" x14ac:dyDescent="0.25">
      <c r="A182" s="3" t="s">
        <v>21</v>
      </c>
      <c r="B182" s="3" t="s">
        <v>35</v>
      </c>
      <c r="C182" s="3" t="s">
        <v>36</v>
      </c>
      <c r="D182" s="3" t="s">
        <v>41</v>
      </c>
      <c r="E182" s="3" t="s">
        <v>50</v>
      </c>
      <c r="F182" s="3" t="s">
        <v>25</v>
      </c>
      <c r="G182" s="3" t="s">
        <v>25</v>
      </c>
      <c r="H182" s="3" t="s">
        <v>38</v>
      </c>
      <c r="I182" s="6">
        <v>44593</v>
      </c>
      <c r="J182" s="4">
        <v>0</v>
      </c>
      <c r="K182" s="4">
        <v>0</v>
      </c>
      <c r="L182" s="4">
        <v>74.162999999999997</v>
      </c>
      <c r="M182" s="4">
        <v>71.196479999999994</v>
      </c>
      <c r="N182" s="4">
        <v>74.162999999999997</v>
      </c>
      <c r="O182" s="4">
        <v>71.196479999999994</v>
      </c>
      <c r="P182" s="4">
        <v>0</v>
      </c>
      <c r="Q182" s="3" t="s">
        <v>26</v>
      </c>
      <c r="R182" s="3">
        <v>0</v>
      </c>
      <c r="S182" s="3" t="s">
        <v>134</v>
      </c>
      <c r="T182" s="3" t="s">
        <v>279</v>
      </c>
      <c r="U182" s="3">
        <v>0</v>
      </c>
      <c r="V182" s="3">
        <v>15</v>
      </c>
      <c r="W182" s="3">
        <v>67</v>
      </c>
    </row>
    <row r="183" spans="1:23" ht="11.25" customHeight="1" x14ac:dyDescent="0.25">
      <c r="A183" s="3" t="s">
        <v>21</v>
      </c>
      <c r="B183" s="3" t="s">
        <v>35</v>
      </c>
      <c r="C183" s="3" t="s">
        <v>36</v>
      </c>
      <c r="D183" s="3" t="s">
        <v>41</v>
      </c>
      <c r="E183" s="3" t="s">
        <v>50</v>
      </c>
      <c r="F183" s="3" t="s">
        <v>25</v>
      </c>
      <c r="G183" s="3" t="s">
        <v>25</v>
      </c>
      <c r="H183" s="3" t="s">
        <v>38</v>
      </c>
      <c r="I183" s="6">
        <v>44621</v>
      </c>
      <c r="J183" s="4">
        <v>0</v>
      </c>
      <c r="K183" s="4">
        <v>0</v>
      </c>
      <c r="L183" s="4">
        <v>66.212000000000003</v>
      </c>
      <c r="M183" s="4">
        <v>63.563519999999997</v>
      </c>
      <c r="N183" s="4">
        <v>66.212000000000003</v>
      </c>
      <c r="O183" s="4">
        <v>63.563519999999997</v>
      </c>
      <c r="P183" s="4">
        <v>0</v>
      </c>
      <c r="Q183" s="3" t="s">
        <v>26</v>
      </c>
      <c r="R183" s="3">
        <v>0</v>
      </c>
      <c r="S183" s="3" t="s">
        <v>135</v>
      </c>
      <c r="T183" s="3" t="s">
        <v>280</v>
      </c>
      <c r="U183" s="3">
        <v>0</v>
      </c>
      <c r="V183" s="3">
        <v>15</v>
      </c>
      <c r="W183" s="3">
        <v>67</v>
      </c>
    </row>
    <row r="184" spans="1:23" ht="11.25" customHeight="1" x14ac:dyDescent="0.25">
      <c r="A184" s="3" t="s">
        <v>21</v>
      </c>
      <c r="B184" s="3" t="s">
        <v>35</v>
      </c>
      <c r="C184" s="3" t="s">
        <v>36</v>
      </c>
      <c r="D184" s="3" t="s">
        <v>41</v>
      </c>
      <c r="E184" s="3" t="s">
        <v>50</v>
      </c>
      <c r="F184" s="3" t="s">
        <v>25</v>
      </c>
      <c r="G184" s="3" t="s">
        <v>25</v>
      </c>
      <c r="H184" s="3" t="s">
        <v>38</v>
      </c>
      <c r="I184" s="6">
        <v>44652</v>
      </c>
      <c r="J184" s="4">
        <v>0</v>
      </c>
      <c r="K184" s="4">
        <v>0</v>
      </c>
      <c r="L184" s="4">
        <v>178.85499999999999</v>
      </c>
      <c r="M184" s="4">
        <v>171.70079999999999</v>
      </c>
      <c r="N184" s="4">
        <v>178.85499999999999</v>
      </c>
      <c r="O184" s="4">
        <v>171.70079999999999</v>
      </c>
      <c r="P184" s="4">
        <v>0</v>
      </c>
      <c r="Q184" s="3" t="s">
        <v>26</v>
      </c>
      <c r="R184" s="3">
        <v>0</v>
      </c>
      <c r="S184" s="3" t="s">
        <v>136</v>
      </c>
      <c r="T184" s="3" t="s">
        <v>281</v>
      </c>
      <c r="U184" s="3">
        <v>0</v>
      </c>
      <c r="V184" s="3">
        <v>15</v>
      </c>
      <c r="W184" s="3">
        <v>67</v>
      </c>
    </row>
    <row r="185" spans="1:23" ht="11.25" customHeight="1" x14ac:dyDescent="0.25">
      <c r="A185" s="3" t="s">
        <v>21</v>
      </c>
      <c r="B185" s="3" t="s">
        <v>35</v>
      </c>
      <c r="C185" s="3" t="s">
        <v>36</v>
      </c>
      <c r="D185" s="3" t="s">
        <v>41</v>
      </c>
      <c r="E185" s="3" t="s">
        <v>50</v>
      </c>
      <c r="F185" s="3" t="s">
        <v>25</v>
      </c>
      <c r="G185" s="3" t="s">
        <v>25</v>
      </c>
      <c r="H185" s="3" t="s">
        <v>38</v>
      </c>
      <c r="I185" s="6">
        <v>44682</v>
      </c>
      <c r="J185" s="4">
        <v>0</v>
      </c>
      <c r="K185" s="4">
        <v>0</v>
      </c>
      <c r="L185" s="4">
        <v>468.88299999999998</v>
      </c>
      <c r="M185" s="4">
        <v>450.12768</v>
      </c>
      <c r="N185" s="4">
        <v>468.88299999999998</v>
      </c>
      <c r="O185" s="4">
        <v>450.12768</v>
      </c>
      <c r="P185" s="4">
        <v>0</v>
      </c>
      <c r="Q185" s="3" t="s">
        <v>26</v>
      </c>
      <c r="R185" s="3">
        <v>0</v>
      </c>
      <c r="S185" s="3" t="s">
        <v>137</v>
      </c>
      <c r="T185" s="3" t="s">
        <v>282</v>
      </c>
      <c r="U185" s="3">
        <v>0</v>
      </c>
      <c r="V185" s="3">
        <v>15</v>
      </c>
      <c r="W185" s="3">
        <v>67</v>
      </c>
    </row>
    <row r="186" spans="1:23" ht="11.25" customHeight="1" x14ac:dyDescent="0.25">
      <c r="A186" s="3" t="s">
        <v>21</v>
      </c>
      <c r="B186" s="3" t="s">
        <v>35</v>
      </c>
      <c r="C186" s="3" t="s">
        <v>36</v>
      </c>
      <c r="D186" s="3" t="s">
        <v>41</v>
      </c>
      <c r="E186" s="3" t="s">
        <v>50</v>
      </c>
      <c r="F186" s="3" t="s">
        <v>25</v>
      </c>
      <c r="G186" s="3" t="s">
        <v>25</v>
      </c>
      <c r="H186" s="3" t="s">
        <v>38</v>
      </c>
      <c r="I186" s="6">
        <v>44713</v>
      </c>
      <c r="J186" s="4">
        <v>0</v>
      </c>
      <c r="K186" s="4">
        <v>0</v>
      </c>
      <c r="L186" s="4">
        <v>106.05</v>
      </c>
      <c r="M186" s="4">
        <v>101.80800000000001</v>
      </c>
      <c r="N186" s="4">
        <v>106.05</v>
      </c>
      <c r="O186" s="4">
        <v>101.80800000000001</v>
      </c>
      <c r="P186" s="4">
        <v>0</v>
      </c>
      <c r="Q186" s="3" t="s">
        <v>26</v>
      </c>
      <c r="R186" s="3">
        <v>0</v>
      </c>
      <c r="S186" s="3" t="s">
        <v>138</v>
      </c>
      <c r="T186" s="3" t="s">
        <v>283</v>
      </c>
      <c r="U186" s="3">
        <v>0</v>
      </c>
      <c r="V186" s="3">
        <v>15</v>
      </c>
      <c r="W186" s="3">
        <v>67</v>
      </c>
    </row>
    <row r="187" spans="1:23" ht="11.25" customHeight="1" x14ac:dyDescent="0.25">
      <c r="A187" s="3" t="s">
        <v>21</v>
      </c>
      <c r="B187" s="3" t="s">
        <v>35</v>
      </c>
      <c r="C187" s="3" t="s">
        <v>36</v>
      </c>
      <c r="D187" s="3" t="s">
        <v>41</v>
      </c>
      <c r="E187" s="3" t="s">
        <v>50</v>
      </c>
      <c r="F187" s="3" t="s">
        <v>25</v>
      </c>
      <c r="G187" s="3" t="s">
        <v>25</v>
      </c>
      <c r="H187" s="3" t="s">
        <v>38</v>
      </c>
      <c r="I187" s="6">
        <v>44743</v>
      </c>
      <c r="J187" s="4">
        <v>0</v>
      </c>
      <c r="K187" s="4">
        <v>0</v>
      </c>
      <c r="L187" s="4">
        <v>361.17</v>
      </c>
      <c r="M187" s="4">
        <v>346.72320000000002</v>
      </c>
      <c r="N187" s="4">
        <v>361.17</v>
      </c>
      <c r="O187" s="4">
        <v>346.72320000000002</v>
      </c>
      <c r="P187" s="4">
        <v>0</v>
      </c>
      <c r="Q187" s="3" t="s">
        <v>26</v>
      </c>
      <c r="R187" s="3">
        <v>0</v>
      </c>
      <c r="S187" s="3" t="s">
        <v>139</v>
      </c>
      <c r="T187" s="3" t="s">
        <v>284</v>
      </c>
      <c r="U187" s="3">
        <v>0</v>
      </c>
      <c r="V187" s="3">
        <v>15</v>
      </c>
      <c r="W187" s="3">
        <v>67</v>
      </c>
    </row>
    <row r="188" spans="1:23" ht="11.25" customHeight="1" x14ac:dyDescent="0.25">
      <c r="A188" s="3" t="s">
        <v>21</v>
      </c>
      <c r="B188" s="3" t="s">
        <v>35</v>
      </c>
      <c r="C188" s="3" t="s">
        <v>36</v>
      </c>
      <c r="D188" s="3" t="s">
        <v>41</v>
      </c>
      <c r="E188" s="3" t="s">
        <v>50</v>
      </c>
      <c r="F188" s="3" t="s">
        <v>25</v>
      </c>
      <c r="G188" s="3" t="s">
        <v>25</v>
      </c>
      <c r="H188" s="3" t="s">
        <v>38</v>
      </c>
      <c r="I188" s="6">
        <v>44774</v>
      </c>
      <c r="J188" s="4">
        <v>0</v>
      </c>
      <c r="K188" s="4">
        <v>0</v>
      </c>
      <c r="L188" s="4">
        <v>668.76499999999999</v>
      </c>
      <c r="M188" s="4">
        <v>642.01440000000002</v>
      </c>
      <c r="N188" s="4">
        <v>668.76499999999999</v>
      </c>
      <c r="O188" s="4">
        <v>642.01440000000002</v>
      </c>
      <c r="P188" s="4">
        <v>0</v>
      </c>
      <c r="Q188" s="3" t="s">
        <v>26</v>
      </c>
      <c r="R188" s="3">
        <v>0</v>
      </c>
      <c r="S188" s="3" t="s">
        <v>140</v>
      </c>
      <c r="T188" s="3" t="s">
        <v>285</v>
      </c>
      <c r="U188" s="3">
        <v>0</v>
      </c>
      <c r="V188" s="3">
        <v>15</v>
      </c>
      <c r="W188" s="3">
        <v>67</v>
      </c>
    </row>
    <row r="189" spans="1:23" ht="11.25" customHeight="1" x14ac:dyDescent="0.25">
      <c r="A189" s="3" t="s">
        <v>21</v>
      </c>
      <c r="B189" s="3" t="s">
        <v>35</v>
      </c>
      <c r="C189" s="3" t="s">
        <v>36</v>
      </c>
      <c r="D189" s="3" t="s">
        <v>41</v>
      </c>
      <c r="E189" s="3" t="s">
        <v>50</v>
      </c>
      <c r="F189" s="3" t="s">
        <v>25</v>
      </c>
      <c r="G189" s="3" t="s">
        <v>25</v>
      </c>
      <c r="H189" s="3" t="s">
        <v>25</v>
      </c>
      <c r="I189" s="6">
        <v>44440</v>
      </c>
      <c r="J189" s="4">
        <v>3715</v>
      </c>
      <c r="K189" s="4">
        <v>3566.4</v>
      </c>
      <c r="L189" s="4">
        <v>0</v>
      </c>
      <c r="M189" s="4">
        <v>0</v>
      </c>
      <c r="N189" s="4">
        <v>0</v>
      </c>
      <c r="O189" s="4">
        <v>0</v>
      </c>
      <c r="P189" s="4">
        <v>11</v>
      </c>
      <c r="Q189" s="3" t="s">
        <v>26</v>
      </c>
      <c r="R189" s="3">
        <v>0</v>
      </c>
      <c r="S189" s="3" t="s">
        <v>141</v>
      </c>
      <c r="U189" s="3">
        <v>22</v>
      </c>
      <c r="V189" s="3">
        <v>0</v>
      </c>
      <c r="W189" s="3">
        <v>0</v>
      </c>
    </row>
    <row r="190" spans="1:23" ht="11.25" customHeight="1" x14ac:dyDescent="0.25">
      <c r="A190" s="3" t="s">
        <v>21</v>
      </c>
      <c r="B190" s="3" t="s">
        <v>35</v>
      </c>
      <c r="C190" s="3" t="s">
        <v>36</v>
      </c>
      <c r="D190" s="3" t="s">
        <v>41</v>
      </c>
      <c r="E190" s="3" t="s">
        <v>50</v>
      </c>
      <c r="F190" s="3" t="s">
        <v>25</v>
      </c>
      <c r="G190" s="3" t="s">
        <v>25</v>
      </c>
      <c r="H190" s="3" t="s">
        <v>25</v>
      </c>
      <c r="I190" s="6">
        <v>44470</v>
      </c>
      <c r="J190" s="4">
        <v>4452</v>
      </c>
      <c r="K190" s="4">
        <v>4273.92</v>
      </c>
      <c r="L190" s="4">
        <v>0</v>
      </c>
      <c r="M190" s="4">
        <v>0</v>
      </c>
      <c r="N190" s="4">
        <v>0</v>
      </c>
      <c r="O190" s="4">
        <v>0</v>
      </c>
      <c r="P190" s="4">
        <v>11</v>
      </c>
      <c r="Q190" s="3" t="s">
        <v>26</v>
      </c>
      <c r="R190" s="3">
        <v>0</v>
      </c>
      <c r="S190" s="3" t="s">
        <v>142</v>
      </c>
      <c r="U190" s="3">
        <v>22</v>
      </c>
      <c r="V190" s="3">
        <v>0</v>
      </c>
      <c r="W190" s="3">
        <v>0</v>
      </c>
    </row>
    <row r="191" spans="1:23" ht="11.25" customHeight="1" x14ac:dyDescent="0.25">
      <c r="A191" s="3" t="s">
        <v>21</v>
      </c>
      <c r="B191" s="3" t="s">
        <v>35</v>
      </c>
      <c r="C191" s="3" t="s">
        <v>36</v>
      </c>
      <c r="D191" s="3" t="s">
        <v>41</v>
      </c>
      <c r="E191" s="3" t="s">
        <v>50</v>
      </c>
      <c r="F191" s="3" t="s">
        <v>25</v>
      </c>
      <c r="G191" s="3" t="s">
        <v>25</v>
      </c>
      <c r="H191" s="3" t="s">
        <v>25</v>
      </c>
      <c r="I191" s="6">
        <v>44501</v>
      </c>
      <c r="J191" s="4">
        <v>2411</v>
      </c>
      <c r="K191" s="4">
        <v>2314.56</v>
      </c>
      <c r="L191" s="4">
        <v>0</v>
      </c>
      <c r="M191" s="4">
        <v>0</v>
      </c>
      <c r="N191" s="4">
        <v>0</v>
      </c>
      <c r="O191" s="4">
        <v>0</v>
      </c>
      <c r="P191" s="4">
        <v>11</v>
      </c>
      <c r="Q191" s="3" t="s">
        <v>26</v>
      </c>
      <c r="R191" s="3">
        <v>0</v>
      </c>
      <c r="S191" s="3" t="s">
        <v>143</v>
      </c>
      <c r="U191" s="3">
        <v>22</v>
      </c>
      <c r="V191" s="3">
        <v>0</v>
      </c>
      <c r="W191" s="3">
        <v>0</v>
      </c>
    </row>
    <row r="192" spans="1:23" ht="11.25" customHeight="1" x14ac:dyDescent="0.25">
      <c r="A192" s="3" t="s">
        <v>21</v>
      </c>
      <c r="B192" s="3" t="s">
        <v>35</v>
      </c>
      <c r="C192" s="3" t="s">
        <v>36</v>
      </c>
      <c r="D192" s="3" t="s">
        <v>41</v>
      </c>
      <c r="E192" s="3" t="s">
        <v>50</v>
      </c>
      <c r="F192" s="3" t="s">
        <v>25</v>
      </c>
      <c r="G192" s="3" t="s">
        <v>25</v>
      </c>
      <c r="H192" s="3" t="s">
        <v>25</v>
      </c>
      <c r="I192" s="6">
        <v>44531</v>
      </c>
      <c r="J192" s="4">
        <v>1746</v>
      </c>
      <c r="K192" s="4">
        <v>1676.16</v>
      </c>
      <c r="L192" s="4">
        <v>0</v>
      </c>
      <c r="M192" s="4">
        <v>0</v>
      </c>
      <c r="N192" s="4">
        <v>0</v>
      </c>
      <c r="O192" s="4">
        <v>0</v>
      </c>
      <c r="P192" s="4">
        <v>11</v>
      </c>
      <c r="Q192" s="3" t="s">
        <v>26</v>
      </c>
      <c r="R192" s="3">
        <v>0</v>
      </c>
      <c r="S192" s="3" t="s">
        <v>144</v>
      </c>
      <c r="U192" s="3">
        <v>22</v>
      </c>
      <c r="V192" s="3">
        <v>0</v>
      </c>
      <c r="W192" s="3">
        <v>0</v>
      </c>
    </row>
    <row r="193" spans="1:23" ht="11.25" customHeight="1" x14ac:dyDescent="0.25">
      <c r="A193" s="3" t="s">
        <v>21</v>
      </c>
      <c r="B193" s="3" t="s">
        <v>35</v>
      </c>
      <c r="C193" s="3" t="s">
        <v>36</v>
      </c>
      <c r="D193" s="3" t="s">
        <v>41</v>
      </c>
      <c r="E193" s="3" t="s">
        <v>50</v>
      </c>
      <c r="F193" s="3" t="s">
        <v>25</v>
      </c>
      <c r="G193" s="3" t="s">
        <v>25</v>
      </c>
      <c r="H193" s="3" t="s">
        <v>25</v>
      </c>
      <c r="I193" s="6">
        <v>44562</v>
      </c>
      <c r="J193" s="4">
        <v>1637</v>
      </c>
      <c r="K193" s="4">
        <v>1571.52</v>
      </c>
      <c r="L193" s="4">
        <v>0</v>
      </c>
      <c r="M193" s="4">
        <v>0</v>
      </c>
      <c r="N193" s="4">
        <v>0</v>
      </c>
      <c r="O193" s="4">
        <v>0</v>
      </c>
      <c r="P193" s="4">
        <v>11</v>
      </c>
      <c r="Q193" s="3" t="s">
        <v>26</v>
      </c>
      <c r="R193" s="3">
        <v>0</v>
      </c>
      <c r="S193" s="3" t="s">
        <v>145</v>
      </c>
      <c r="U193" s="3">
        <v>22</v>
      </c>
      <c r="V193" s="3">
        <v>0</v>
      </c>
      <c r="W193" s="3">
        <v>0</v>
      </c>
    </row>
    <row r="194" spans="1:23" ht="11.25" customHeight="1" x14ac:dyDescent="0.25">
      <c r="A194" s="3" t="s">
        <v>21</v>
      </c>
      <c r="B194" s="3" t="s">
        <v>35</v>
      </c>
      <c r="C194" s="3" t="s">
        <v>36</v>
      </c>
      <c r="D194" s="3" t="s">
        <v>41</v>
      </c>
      <c r="E194" s="3" t="s">
        <v>50</v>
      </c>
      <c r="F194" s="3" t="s">
        <v>25</v>
      </c>
      <c r="G194" s="3" t="s">
        <v>25</v>
      </c>
      <c r="H194" s="3" t="s">
        <v>25</v>
      </c>
      <c r="I194" s="6">
        <v>44593</v>
      </c>
      <c r="J194" s="4">
        <v>1986</v>
      </c>
      <c r="K194" s="4">
        <v>1906.56</v>
      </c>
      <c r="L194" s="4">
        <v>0</v>
      </c>
      <c r="M194" s="4">
        <v>0</v>
      </c>
      <c r="N194" s="4">
        <v>0</v>
      </c>
      <c r="O194" s="4">
        <v>0</v>
      </c>
      <c r="P194" s="4">
        <v>11</v>
      </c>
      <c r="Q194" s="3" t="s">
        <v>26</v>
      </c>
      <c r="R194" s="3">
        <v>0</v>
      </c>
      <c r="S194" s="3" t="s">
        <v>146</v>
      </c>
      <c r="U194" s="3">
        <v>22</v>
      </c>
      <c r="V194" s="3">
        <v>0</v>
      </c>
      <c r="W194" s="3">
        <v>0</v>
      </c>
    </row>
    <row r="195" spans="1:23" ht="11.25" customHeight="1" x14ac:dyDescent="0.25">
      <c r="A195" s="3" t="s">
        <v>21</v>
      </c>
      <c r="B195" s="3" t="s">
        <v>35</v>
      </c>
      <c r="C195" s="3" t="s">
        <v>36</v>
      </c>
      <c r="D195" s="3" t="s">
        <v>41</v>
      </c>
      <c r="E195" s="3" t="s">
        <v>50</v>
      </c>
      <c r="F195" s="3" t="s">
        <v>25</v>
      </c>
      <c r="G195" s="3" t="s">
        <v>25</v>
      </c>
      <c r="H195" s="3" t="s">
        <v>25</v>
      </c>
      <c r="I195" s="6">
        <v>44621</v>
      </c>
      <c r="J195" s="4">
        <v>1575</v>
      </c>
      <c r="K195" s="4">
        <v>1512</v>
      </c>
      <c r="L195" s="4">
        <v>0</v>
      </c>
      <c r="M195" s="4">
        <v>0</v>
      </c>
      <c r="N195" s="4">
        <v>0</v>
      </c>
      <c r="O195" s="4">
        <v>0</v>
      </c>
      <c r="P195" s="4">
        <v>10</v>
      </c>
      <c r="Q195" s="3" t="s">
        <v>26</v>
      </c>
      <c r="R195" s="3">
        <v>0</v>
      </c>
      <c r="S195" s="3" t="s">
        <v>147</v>
      </c>
      <c r="U195" s="3">
        <v>22</v>
      </c>
      <c r="V195" s="3">
        <v>0</v>
      </c>
      <c r="W195" s="3">
        <v>0</v>
      </c>
    </row>
    <row r="196" spans="1:23" ht="11.25" customHeight="1" x14ac:dyDescent="0.25">
      <c r="A196" s="3" t="s">
        <v>21</v>
      </c>
      <c r="B196" s="3" t="s">
        <v>35</v>
      </c>
      <c r="C196" s="3" t="s">
        <v>36</v>
      </c>
      <c r="D196" s="3" t="s">
        <v>41</v>
      </c>
      <c r="E196" s="3" t="s">
        <v>50</v>
      </c>
      <c r="F196" s="3" t="s">
        <v>25</v>
      </c>
      <c r="G196" s="3" t="s">
        <v>25</v>
      </c>
      <c r="H196" s="3" t="s">
        <v>25</v>
      </c>
      <c r="I196" s="6">
        <v>44652</v>
      </c>
      <c r="J196" s="4">
        <v>2641</v>
      </c>
      <c r="K196" s="4">
        <v>2535.36</v>
      </c>
      <c r="L196" s="4">
        <v>0</v>
      </c>
      <c r="M196" s="4">
        <v>0</v>
      </c>
      <c r="N196" s="4">
        <v>0</v>
      </c>
      <c r="O196" s="4">
        <v>0</v>
      </c>
      <c r="P196" s="4">
        <v>10</v>
      </c>
      <c r="Q196" s="3" t="s">
        <v>26</v>
      </c>
      <c r="R196" s="3">
        <v>0</v>
      </c>
      <c r="S196" s="3" t="s">
        <v>148</v>
      </c>
      <c r="U196" s="3">
        <v>22</v>
      </c>
      <c r="V196" s="3">
        <v>0</v>
      </c>
      <c r="W196" s="3">
        <v>0</v>
      </c>
    </row>
    <row r="197" spans="1:23" ht="11.25" customHeight="1" x14ac:dyDescent="0.25">
      <c r="A197" s="3" t="s">
        <v>21</v>
      </c>
      <c r="B197" s="3" t="s">
        <v>35</v>
      </c>
      <c r="C197" s="3" t="s">
        <v>36</v>
      </c>
      <c r="D197" s="3" t="s">
        <v>41</v>
      </c>
      <c r="E197" s="3" t="s">
        <v>50</v>
      </c>
      <c r="F197" s="3" t="s">
        <v>25</v>
      </c>
      <c r="G197" s="3" t="s">
        <v>25</v>
      </c>
      <c r="H197" s="3" t="s">
        <v>25</v>
      </c>
      <c r="I197" s="6">
        <v>44682</v>
      </c>
      <c r="J197" s="4">
        <v>3773</v>
      </c>
      <c r="K197" s="4">
        <v>3622.08</v>
      </c>
      <c r="L197" s="4">
        <v>0</v>
      </c>
      <c r="M197" s="4">
        <v>0</v>
      </c>
      <c r="N197" s="4">
        <v>0</v>
      </c>
      <c r="O197" s="4">
        <v>0</v>
      </c>
      <c r="P197" s="4">
        <v>11</v>
      </c>
      <c r="Q197" s="3" t="s">
        <v>26</v>
      </c>
      <c r="R197" s="3">
        <v>0</v>
      </c>
      <c r="S197" s="3" t="s">
        <v>149</v>
      </c>
      <c r="U197" s="3">
        <v>22</v>
      </c>
      <c r="V197" s="3">
        <v>0</v>
      </c>
      <c r="W197" s="3">
        <v>0</v>
      </c>
    </row>
    <row r="198" spans="1:23" ht="11.25" customHeight="1" x14ac:dyDescent="0.25">
      <c r="A198" s="3" t="s">
        <v>21</v>
      </c>
      <c r="B198" s="3" t="s">
        <v>35</v>
      </c>
      <c r="C198" s="3" t="s">
        <v>36</v>
      </c>
      <c r="D198" s="3" t="s">
        <v>41</v>
      </c>
      <c r="E198" s="3" t="s">
        <v>50</v>
      </c>
      <c r="F198" s="3" t="s">
        <v>25</v>
      </c>
      <c r="G198" s="3" t="s">
        <v>25</v>
      </c>
      <c r="H198" s="3" t="s">
        <v>25</v>
      </c>
      <c r="I198" s="6">
        <v>44713</v>
      </c>
      <c r="J198" s="4">
        <v>3144</v>
      </c>
      <c r="K198" s="4">
        <v>3018.24</v>
      </c>
      <c r="L198" s="4">
        <v>0</v>
      </c>
      <c r="M198" s="4">
        <v>0</v>
      </c>
      <c r="N198" s="4">
        <v>0</v>
      </c>
      <c r="O198" s="4">
        <v>0</v>
      </c>
      <c r="P198" s="4">
        <v>11</v>
      </c>
      <c r="Q198" s="3" t="s">
        <v>26</v>
      </c>
      <c r="R198" s="3">
        <v>0</v>
      </c>
      <c r="S198" s="3" t="s">
        <v>150</v>
      </c>
      <c r="U198" s="3">
        <v>22</v>
      </c>
      <c r="V198" s="3">
        <v>0</v>
      </c>
      <c r="W198" s="3">
        <v>0</v>
      </c>
    </row>
    <row r="199" spans="1:23" ht="11.25" customHeight="1" x14ac:dyDescent="0.25">
      <c r="A199" s="3" t="s">
        <v>21</v>
      </c>
      <c r="B199" s="3" t="s">
        <v>35</v>
      </c>
      <c r="C199" s="3" t="s">
        <v>36</v>
      </c>
      <c r="D199" s="3" t="s">
        <v>41</v>
      </c>
      <c r="E199" s="3" t="s">
        <v>50</v>
      </c>
      <c r="F199" s="3" t="s">
        <v>25</v>
      </c>
      <c r="G199" s="3" t="s">
        <v>25</v>
      </c>
      <c r="H199" s="3" t="s">
        <v>25</v>
      </c>
      <c r="I199" s="6">
        <v>44743</v>
      </c>
      <c r="J199" s="4">
        <v>3147</v>
      </c>
      <c r="K199" s="4">
        <v>3021.12</v>
      </c>
      <c r="L199" s="4">
        <v>0</v>
      </c>
      <c r="M199" s="4">
        <v>0</v>
      </c>
      <c r="N199" s="4">
        <v>0</v>
      </c>
      <c r="O199" s="4">
        <v>0</v>
      </c>
      <c r="P199" s="4">
        <v>11</v>
      </c>
      <c r="Q199" s="3" t="s">
        <v>26</v>
      </c>
      <c r="R199" s="3">
        <v>0</v>
      </c>
      <c r="S199" s="3" t="s">
        <v>151</v>
      </c>
      <c r="U199" s="3">
        <v>22</v>
      </c>
      <c r="V199" s="3">
        <v>0</v>
      </c>
      <c r="W199" s="3">
        <v>0</v>
      </c>
    </row>
    <row r="200" spans="1:23" ht="11.25" customHeight="1" x14ac:dyDescent="0.25">
      <c r="A200" s="3" t="s">
        <v>21</v>
      </c>
      <c r="B200" s="3" t="s">
        <v>35</v>
      </c>
      <c r="C200" s="3" t="s">
        <v>36</v>
      </c>
      <c r="D200" s="3" t="s">
        <v>41</v>
      </c>
      <c r="E200" s="3" t="s">
        <v>50</v>
      </c>
      <c r="F200" s="3" t="s">
        <v>25</v>
      </c>
      <c r="G200" s="3" t="s">
        <v>25</v>
      </c>
      <c r="H200" s="3" t="s">
        <v>25</v>
      </c>
      <c r="I200" s="6">
        <v>44774</v>
      </c>
      <c r="J200" s="4">
        <v>3975</v>
      </c>
      <c r="K200" s="4">
        <v>3816</v>
      </c>
      <c r="L200" s="4">
        <v>0</v>
      </c>
      <c r="M200" s="4">
        <v>0</v>
      </c>
      <c r="N200" s="4">
        <v>0</v>
      </c>
      <c r="O200" s="4">
        <v>0</v>
      </c>
      <c r="P200" s="4">
        <v>11</v>
      </c>
      <c r="Q200" s="3" t="s">
        <v>26</v>
      </c>
      <c r="R200" s="3">
        <v>0</v>
      </c>
      <c r="S200" s="3" t="s">
        <v>152</v>
      </c>
      <c r="U200" s="3">
        <v>22</v>
      </c>
      <c r="V200" s="3">
        <v>0</v>
      </c>
      <c r="W200" s="3">
        <v>0</v>
      </c>
    </row>
    <row r="201" spans="1:23" ht="11.25" customHeight="1" x14ac:dyDescent="0.25">
      <c r="A201" s="3" t="s">
        <v>21</v>
      </c>
      <c r="B201" s="3" t="s">
        <v>35</v>
      </c>
      <c r="C201" s="3" t="s">
        <v>36</v>
      </c>
      <c r="D201" s="3" t="s">
        <v>41</v>
      </c>
      <c r="E201" s="3" t="s">
        <v>50</v>
      </c>
      <c r="F201" s="3" t="s">
        <v>25</v>
      </c>
      <c r="G201" s="3" t="s">
        <v>25</v>
      </c>
      <c r="H201" s="3" t="s">
        <v>37</v>
      </c>
      <c r="I201" s="6">
        <v>44440</v>
      </c>
      <c r="J201" s="4">
        <v>0</v>
      </c>
      <c r="K201" s="4">
        <v>0</v>
      </c>
      <c r="L201" s="4">
        <v>11.597</v>
      </c>
      <c r="M201" s="4">
        <v>11.13312</v>
      </c>
      <c r="N201" s="4">
        <v>11.597</v>
      </c>
      <c r="O201" s="4">
        <v>11.13312</v>
      </c>
      <c r="P201" s="4">
        <v>0</v>
      </c>
      <c r="Q201" s="3" t="s">
        <v>26</v>
      </c>
      <c r="R201" s="3">
        <v>0</v>
      </c>
      <c r="S201" s="3" t="s">
        <v>153</v>
      </c>
      <c r="T201" s="3" t="s">
        <v>290</v>
      </c>
      <c r="U201" s="3">
        <v>0</v>
      </c>
      <c r="V201" s="3">
        <v>33</v>
      </c>
      <c r="W201" s="3">
        <v>51</v>
      </c>
    </row>
    <row r="202" spans="1:23" ht="11.25" customHeight="1" x14ac:dyDescent="0.25">
      <c r="A202" s="3" t="s">
        <v>21</v>
      </c>
      <c r="B202" s="3" t="s">
        <v>35</v>
      </c>
      <c r="C202" s="3" t="s">
        <v>36</v>
      </c>
      <c r="D202" s="3" t="s">
        <v>41</v>
      </c>
      <c r="E202" s="3" t="s">
        <v>50</v>
      </c>
      <c r="F202" s="3" t="s">
        <v>25</v>
      </c>
      <c r="G202" s="3" t="s">
        <v>25</v>
      </c>
      <c r="H202" s="3" t="s">
        <v>37</v>
      </c>
      <c r="I202" s="6">
        <v>44470</v>
      </c>
      <c r="J202" s="4">
        <v>0</v>
      </c>
      <c r="K202" s="4">
        <v>0</v>
      </c>
      <c r="L202" s="4">
        <v>15.912000000000001</v>
      </c>
      <c r="M202" s="4">
        <v>15.27552</v>
      </c>
      <c r="N202" s="4">
        <v>15.912000000000001</v>
      </c>
      <c r="O202" s="4">
        <v>15.27552</v>
      </c>
      <c r="P202" s="4">
        <v>0</v>
      </c>
      <c r="Q202" s="3" t="s">
        <v>26</v>
      </c>
      <c r="R202" s="3">
        <v>0</v>
      </c>
      <c r="S202" s="3" t="s">
        <v>154</v>
      </c>
      <c r="T202" s="3" t="s">
        <v>291</v>
      </c>
      <c r="U202" s="3">
        <v>0</v>
      </c>
      <c r="V202" s="3">
        <v>33</v>
      </c>
      <c r="W202" s="3">
        <v>51</v>
      </c>
    </row>
    <row r="203" spans="1:23" ht="11.25" customHeight="1" x14ac:dyDescent="0.25">
      <c r="A203" s="3" t="s">
        <v>21</v>
      </c>
      <c r="B203" s="3" t="s">
        <v>35</v>
      </c>
      <c r="C203" s="3" t="s">
        <v>36</v>
      </c>
      <c r="D203" s="3" t="s">
        <v>41</v>
      </c>
      <c r="E203" s="3" t="s">
        <v>50</v>
      </c>
      <c r="F203" s="3" t="s">
        <v>25</v>
      </c>
      <c r="G203" s="3" t="s">
        <v>25</v>
      </c>
      <c r="H203" s="3" t="s">
        <v>37</v>
      </c>
      <c r="I203" s="6">
        <v>44501</v>
      </c>
      <c r="J203" s="4">
        <v>0</v>
      </c>
      <c r="K203" s="4">
        <v>0</v>
      </c>
      <c r="L203" s="4">
        <v>8.5220000000000002</v>
      </c>
      <c r="M203" s="4">
        <v>8.1811199999999999</v>
      </c>
      <c r="N203" s="4">
        <v>8.5220000000000002</v>
      </c>
      <c r="O203" s="4">
        <v>8.1811199999999999</v>
      </c>
      <c r="P203" s="4">
        <v>0</v>
      </c>
      <c r="Q203" s="3" t="s">
        <v>26</v>
      </c>
      <c r="R203" s="3">
        <v>0</v>
      </c>
      <c r="S203" s="3" t="s">
        <v>155</v>
      </c>
      <c r="T203" s="3" t="s">
        <v>292</v>
      </c>
      <c r="U203" s="3">
        <v>0</v>
      </c>
      <c r="V203" s="3">
        <v>33</v>
      </c>
      <c r="W203" s="3">
        <v>51</v>
      </c>
    </row>
    <row r="204" spans="1:23" ht="11.25" customHeight="1" x14ac:dyDescent="0.25">
      <c r="A204" s="3" t="s">
        <v>21</v>
      </c>
      <c r="B204" s="3" t="s">
        <v>35</v>
      </c>
      <c r="C204" s="3" t="s">
        <v>36</v>
      </c>
      <c r="D204" s="3" t="s">
        <v>41</v>
      </c>
      <c r="E204" s="3" t="s">
        <v>50</v>
      </c>
      <c r="F204" s="3" t="s">
        <v>25</v>
      </c>
      <c r="G204" s="3" t="s">
        <v>25</v>
      </c>
      <c r="H204" s="3" t="s">
        <v>37</v>
      </c>
      <c r="I204" s="6">
        <v>44531</v>
      </c>
      <c r="J204" s="4">
        <v>0</v>
      </c>
      <c r="K204" s="4">
        <v>0</v>
      </c>
      <c r="L204" s="4">
        <v>3.88</v>
      </c>
      <c r="M204" s="4">
        <v>3.7248000000000001</v>
      </c>
      <c r="N204" s="4">
        <v>3.88</v>
      </c>
      <c r="O204" s="4">
        <v>3.7248000000000001</v>
      </c>
      <c r="P204" s="4">
        <v>0</v>
      </c>
      <c r="Q204" s="3" t="s">
        <v>26</v>
      </c>
      <c r="R204" s="3">
        <v>0</v>
      </c>
      <c r="S204" s="3" t="s">
        <v>156</v>
      </c>
      <c r="T204" s="3" t="s">
        <v>293</v>
      </c>
      <c r="U204" s="3">
        <v>0</v>
      </c>
      <c r="V204" s="3">
        <v>33</v>
      </c>
      <c r="W204" s="3">
        <v>51</v>
      </c>
    </row>
    <row r="205" spans="1:23" ht="11.25" customHeight="1" x14ac:dyDescent="0.25">
      <c r="A205" s="3" t="s">
        <v>21</v>
      </c>
      <c r="B205" s="3" t="s">
        <v>35</v>
      </c>
      <c r="C205" s="3" t="s">
        <v>36</v>
      </c>
      <c r="D205" s="3" t="s">
        <v>41</v>
      </c>
      <c r="E205" s="3" t="s">
        <v>50</v>
      </c>
      <c r="F205" s="3" t="s">
        <v>25</v>
      </c>
      <c r="G205" s="3" t="s">
        <v>25</v>
      </c>
      <c r="H205" s="3" t="s">
        <v>37</v>
      </c>
      <c r="I205" s="6">
        <v>44562</v>
      </c>
      <c r="J205" s="4">
        <v>0</v>
      </c>
      <c r="K205" s="4">
        <v>0</v>
      </c>
      <c r="L205" s="4">
        <v>4.8959999999999999</v>
      </c>
      <c r="M205" s="4">
        <v>4.7001600000000003</v>
      </c>
      <c r="N205" s="4">
        <v>4.8959999999999999</v>
      </c>
      <c r="O205" s="4">
        <v>4.7001600000000003</v>
      </c>
      <c r="P205" s="4">
        <v>0</v>
      </c>
      <c r="Q205" s="3" t="s">
        <v>26</v>
      </c>
      <c r="R205" s="3">
        <v>0</v>
      </c>
      <c r="S205" s="3" t="s">
        <v>157</v>
      </c>
      <c r="T205" s="3" t="s">
        <v>294</v>
      </c>
      <c r="U205" s="3">
        <v>0</v>
      </c>
      <c r="V205" s="3">
        <v>33</v>
      </c>
      <c r="W205" s="3">
        <v>51</v>
      </c>
    </row>
    <row r="206" spans="1:23" ht="11.25" customHeight="1" x14ac:dyDescent="0.25">
      <c r="A206" s="3" t="s">
        <v>21</v>
      </c>
      <c r="B206" s="3" t="s">
        <v>35</v>
      </c>
      <c r="C206" s="3" t="s">
        <v>36</v>
      </c>
      <c r="D206" s="3" t="s">
        <v>41</v>
      </c>
      <c r="E206" s="3" t="s">
        <v>50</v>
      </c>
      <c r="F206" s="3" t="s">
        <v>25</v>
      </c>
      <c r="G206" s="3" t="s">
        <v>25</v>
      </c>
      <c r="H206" s="3" t="s">
        <v>37</v>
      </c>
      <c r="I206" s="6">
        <v>44593</v>
      </c>
      <c r="J206" s="4">
        <v>0</v>
      </c>
      <c r="K206" s="4">
        <v>0</v>
      </c>
      <c r="L206" s="4">
        <v>5.0060000000000002</v>
      </c>
      <c r="M206" s="4">
        <v>4.8057600000000003</v>
      </c>
      <c r="N206" s="4">
        <v>5.0060000000000002</v>
      </c>
      <c r="O206" s="4">
        <v>4.8057600000000003</v>
      </c>
      <c r="P206" s="4">
        <v>0</v>
      </c>
      <c r="Q206" s="3" t="s">
        <v>26</v>
      </c>
      <c r="R206" s="3">
        <v>0</v>
      </c>
      <c r="S206" s="3" t="s">
        <v>158</v>
      </c>
      <c r="T206" s="3" t="s">
        <v>295</v>
      </c>
      <c r="U206" s="3">
        <v>0</v>
      </c>
      <c r="V206" s="3">
        <v>33</v>
      </c>
      <c r="W206" s="3">
        <v>51</v>
      </c>
    </row>
    <row r="207" spans="1:23" ht="11.25" customHeight="1" x14ac:dyDescent="0.25">
      <c r="A207" s="3" t="s">
        <v>21</v>
      </c>
      <c r="B207" s="3" t="s">
        <v>35</v>
      </c>
      <c r="C207" s="3" t="s">
        <v>36</v>
      </c>
      <c r="D207" s="3" t="s">
        <v>41</v>
      </c>
      <c r="E207" s="3" t="s">
        <v>50</v>
      </c>
      <c r="F207" s="3" t="s">
        <v>25</v>
      </c>
      <c r="G207" s="3" t="s">
        <v>25</v>
      </c>
      <c r="H207" s="3" t="s">
        <v>37</v>
      </c>
      <c r="I207" s="6">
        <v>44621</v>
      </c>
      <c r="J207" s="4">
        <v>0</v>
      </c>
      <c r="K207" s="4">
        <v>0</v>
      </c>
      <c r="L207" s="4">
        <v>3.8980000000000001</v>
      </c>
      <c r="M207" s="4">
        <v>3.7420800000000001</v>
      </c>
      <c r="N207" s="4">
        <v>3.8980000000000001</v>
      </c>
      <c r="O207" s="4">
        <v>3.7420800000000001</v>
      </c>
      <c r="P207" s="4">
        <v>0</v>
      </c>
      <c r="Q207" s="3" t="s">
        <v>26</v>
      </c>
      <c r="R207" s="3">
        <v>0</v>
      </c>
      <c r="S207" s="3" t="s">
        <v>159</v>
      </c>
      <c r="T207" s="3" t="s">
        <v>296</v>
      </c>
      <c r="U207" s="3">
        <v>0</v>
      </c>
      <c r="V207" s="3">
        <v>33</v>
      </c>
      <c r="W207" s="3">
        <v>51</v>
      </c>
    </row>
    <row r="208" spans="1:23" ht="11.25" customHeight="1" x14ac:dyDescent="0.25">
      <c r="A208" s="3" t="s">
        <v>21</v>
      </c>
      <c r="B208" s="3" t="s">
        <v>35</v>
      </c>
      <c r="C208" s="3" t="s">
        <v>36</v>
      </c>
      <c r="D208" s="3" t="s">
        <v>41</v>
      </c>
      <c r="E208" s="3" t="s">
        <v>50</v>
      </c>
      <c r="F208" s="3" t="s">
        <v>25</v>
      </c>
      <c r="G208" s="3" t="s">
        <v>25</v>
      </c>
      <c r="H208" s="3" t="s">
        <v>37</v>
      </c>
      <c r="I208" s="6">
        <v>44652</v>
      </c>
      <c r="J208" s="4">
        <v>0</v>
      </c>
      <c r="K208" s="4">
        <v>0</v>
      </c>
      <c r="L208" s="4">
        <v>4.7699999999999996</v>
      </c>
      <c r="M208" s="4">
        <v>4.5792000000000002</v>
      </c>
      <c r="N208" s="4">
        <v>4.7699999999999996</v>
      </c>
      <c r="O208" s="4">
        <v>4.5792000000000002</v>
      </c>
      <c r="P208" s="4">
        <v>0</v>
      </c>
      <c r="Q208" s="3" t="s">
        <v>26</v>
      </c>
      <c r="R208" s="3">
        <v>0</v>
      </c>
      <c r="S208" s="3" t="s">
        <v>160</v>
      </c>
      <c r="T208" s="3" t="s">
        <v>297</v>
      </c>
      <c r="U208" s="3">
        <v>0</v>
      </c>
      <c r="V208" s="3">
        <v>33</v>
      </c>
      <c r="W208" s="3">
        <v>51</v>
      </c>
    </row>
    <row r="209" spans="1:23" ht="11.25" customHeight="1" x14ac:dyDescent="0.25">
      <c r="A209" s="3" t="s">
        <v>21</v>
      </c>
      <c r="B209" s="3" t="s">
        <v>35</v>
      </c>
      <c r="C209" s="3" t="s">
        <v>36</v>
      </c>
      <c r="D209" s="3" t="s">
        <v>41</v>
      </c>
      <c r="E209" s="3" t="s">
        <v>50</v>
      </c>
      <c r="F209" s="3" t="s">
        <v>25</v>
      </c>
      <c r="G209" s="3" t="s">
        <v>25</v>
      </c>
      <c r="H209" s="3" t="s">
        <v>37</v>
      </c>
      <c r="I209" s="6">
        <v>44682</v>
      </c>
      <c r="J209" s="4">
        <v>0</v>
      </c>
      <c r="K209" s="4">
        <v>0</v>
      </c>
      <c r="L209" s="4">
        <v>4.7590000000000003</v>
      </c>
      <c r="M209" s="4">
        <v>4.5686400000000003</v>
      </c>
      <c r="N209" s="4">
        <v>4.7590000000000003</v>
      </c>
      <c r="O209" s="4">
        <v>4.5686400000000003</v>
      </c>
      <c r="P209" s="4">
        <v>0</v>
      </c>
      <c r="Q209" s="3" t="s">
        <v>26</v>
      </c>
      <c r="R209" s="3">
        <v>0</v>
      </c>
      <c r="S209" s="3" t="s">
        <v>161</v>
      </c>
      <c r="T209" s="3" t="s">
        <v>298</v>
      </c>
      <c r="U209" s="3">
        <v>0</v>
      </c>
      <c r="V209" s="3">
        <v>33</v>
      </c>
      <c r="W209" s="3">
        <v>51</v>
      </c>
    </row>
    <row r="210" spans="1:23" ht="11.25" customHeight="1" x14ac:dyDescent="0.25">
      <c r="A210" s="3" t="s">
        <v>21</v>
      </c>
      <c r="B210" s="3" t="s">
        <v>35</v>
      </c>
      <c r="C210" s="3" t="s">
        <v>36</v>
      </c>
      <c r="D210" s="3" t="s">
        <v>41</v>
      </c>
      <c r="E210" s="3" t="s">
        <v>50</v>
      </c>
      <c r="F210" s="3" t="s">
        <v>25</v>
      </c>
      <c r="G210" s="3" t="s">
        <v>25</v>
      </c>
      <c r="H210" s="3" t="s">
        <v>37</v>
      </c>
      <c r="I210" s="6">
        <v>44713</v>
      </c>
      <c r="J210" s="4">
        <v>0</v>
      </c>
      <c r="K210" s="4">
        <v>0</v>
      </c>
      <c r="L210" s="4">
        <v>4.8280000000000003</v>
      </c>
      <c r="M210" s="4">
        <v>4.6348799999999999</v>
      </c>
      <c r="N210" s="4">
        <v>4.8280000000000003</v>
      </c>
      <c r="O210" s="4">
        <v>4.6348799999999999</v>
      </c>
      <c r="P210" s="4">
        <v>0</v>
      </c>
      <c r="Q210" s="3" t="s">
        <v>26</v>
      </c>
      <c r="R210" s="3">
        <v>0</v>
      </c>
      <c r="S210" s="3" t="s">
        <v>162</v>
      </c>
      <c r="T210" s="3" t="s">
        <v>299</v>
      </c>
      <c r="U210" s="3">
        <v>0</v>
      </c>
      <c r="V210" s="3">
        <v>33</v>
      </c>
      <c r="W210" s="3">
        <v>51</v>
      </c>
    </row>
    <row r="211" spans="1:23" ht="11.25" customHeight="1" x14ac:dyDescent="0.25">
      <c r="A211" s="3" t="s">
        <v>21</v>
      </c>
      <c r="B211" s="3" t="s">
        <v>35</v>
      </c>
      <c r="C211" s="3" t="s">
        <v>36</v>
      </c>
      <c r="D211" s="3" t="s">
        <v>41</v>
      </c>
      <c r="E211" s="3" t="s">
        <v>50</v>
      </c>
      <c r="F211" s="3" t="s">
        <v>25</v>
      </c>
      <c r="G211" s="3" t="s">
        <v>25</v>
      </c>
      <c r="H211" s="3" t="s">
        <v>37</v>
      </c>
      <c r="I211" s="6">
        <v>44743</v>
      </c>
      <c r="J211" s="4">
        <v>0</v>
      </c>
      <c r="K211" s="4">
        <v>0</v>
      </c>
      <c r="L211" s="4">
        <v>6.4169999999999998</v>
      </c>
      <c r="M211" s="4">
        <v>6.1603199999999996</v>
      </c>
      <c r="N211" s="4">
        <v>6.4169999999999998</v>
      </c>
      <c r="O211" s="4">
        <v>6.1603199999999996</v>
      </c>
      <c r="P211" s="4">
        <v>0</v>
      </c>
      <c r="Q211" s="3" t="s">
        <v>26</v>
      </c>
      <c r="R211" s="3">
        <v>0</v>
      </c>
      <c r="S211" s="3" t="s">
        <v>163</v>
      </c>
      <c r="T211" s="3" t="s">
        <v>300</v>
      </c>
      <c r="U211" s="3">
        <v>0</v>
      </c>
      <c r="V211" s="3">
        <v>33</v>
      </c>
      <c r="W211" s="3">
        <v>51</v>
      </c>
    </row>
    <row r="212" spans="1:23" ht="11.25" customHeight="1" x14ac:dyDescent="0.25">
      <c r="A212" s="3" t="s">
        <v>21</v>
      </c>
      <c r="B212" s="3" t="s">
        <v>35</v>
      </c>
      <c r="C212" s="3" t="s">
        <v>36</v>
      </c>
      <c r="D212" s="3" t="s">
        <v>41</v>
      </c>
      <c r="E212" s="3" t="s">
        <v>50</v>
      </c>
      <c r="F212" s="3" t="s">
        <v>25</v>
      </c>
      <c r="G212" s="3" t="s">
        <v>25</v>
      </c>
      <c r="H212" s="3" t="s">
        <v>37</v>
      </c>
      <c r="I212" s="6">
        <v>44774</v>
      </c>
      <c r="J212" s="4">
        <v>0</v>
      </c>
      <c r="K212" s="4">
        <v>0</v>
      </c>
      <c r="L212" s="4">
        <v>17.626000000000001</v>
      </c>
      <c r="M212" s="4">
        <v>16.920960000000001</v>
      </c>
      <c r="N212" s="4">
        <v>17.626000000000001</v>
      </c>
      <c r="O212" s="4">
        <v>16.920960000000001</v>
      </c>
      <c r="P212" s="4">
        <v>0</v>
      </c>
      <c r="Q212" s="3" t="s">
        <v>26</v>
      </c>
      <c r="R212" s="3">
        <v>0</v>
      </c>
      <c r="S212" s="3" t="s">
        <v>164</v>
      </c>
      <c r="T212" s="3" t="s">
        <v>301</v>
      </c>
      <c r="U212" s="3">
        <v>0</v>
      </c>
      <c r="V212" s="3">
        <v>33</v>
      </c>
      <c r="W212" s="3">
        <v>51</v>
      </c>
    </row>
    <row r="213" spans="1:23" ht="11.25" customHeight="1" x14ac:dyDescent="0.25">
      <c r="A213" s="3" t="s">
        <v>21</v>
      </c>
      <c r="B213" s="3" t="s">
        <v>35</v>
      </c>
      <c r="C213" s="3" t="s">
        <v>36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38</v>
      </c>
      <c r="I213" s="6">
        <v>44440</v>
      </c>
      <c r="J213" s="4">
        <v>0</v>
      </c>
      <c r="K213" s="4">
        <v>0</v>
      </c>
      <c r="L213" s="4">
        <v>48.719000000000001</v>
      </c>
      <c r="M213" s="4">
        <v>46.770240000000001</v>
      </c>
      <c r="N213" s="4">
        <v>48.719000000000001</v>
      </c>
      <c r="O213" s="4">
        <v>46.770240000000001</v>
      </c>
      <c r="P213" s="4">
        <v>0</v>
      </c>
      <c r="Q213" s="3" t="s">
        <v>26</v>
      </c>
      <c r="R213" s="3">
        <v>0</v>
      </c>
      <c r="S213" s="3" t="s">
        <v>129</v>
      </c>
      <c r="T213" s="3" t="s">
        <v>274</v>
      </c>
      <c r="U213" s="3">
        <v>0</v>
      </c>
      <c r="V213" s="3">
        <v>15</v>
      </c>
      <c r="W213" s="3">
        <v>67</v>
      </c>
    </row>
    <row r="214" spans="1:23" ht="11.25" customHeight="1" x14ac:dyDescent="0.25">
      <c r="A214" s="3" t="s">
        <v>21</v>
      </c>
      <c r="B214" s="3" t="s">
        <v>35</v>
      </c>
      <c r="C214" s="3" t="s">
        <v>36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38</v>
      </c>
      <c r="I214" s="6">
        <v>44470</v>
      </c>
      <c r="J214" s="4">
        <v>0</v>
      </c>
      <c r="K214" s="4">
        <v>0</v>
      </c>
      <c r="L214" s="4">
        <v>18.87</v>
      </c>
      <c r="M214" s="4">
        <v>18.115200000000002</v>
      </c>
      <c r="N214" s="4">
        <v>18.87</v>
      </c>
      <c r="O214" s="4">
        <v>18.115200000000002</v>
      </c>
      <c r="P214" s="4">
        <v>0</v>
      </c>
      <c r="Q214" s="3" t="s">
        <v>26</v>
      </c>
      <c r="R214" s="3">
        <v>0</v>
      </c>
      <c r="S214" s="3" t="s">
        <v>130</v>
      </c>
      <c r="T214" s="3" t="s">
        <v>275</v>
      </c>
      <c r="U214" s="3">
        <v>0</v>
      </c>
      <c r="V214" s="3">
        <v>15</v>
      </c>
      <c r="W214" s="3">
        <v>67</v>
      </c>
    </row>
    <row r="215" spans="1:23" ht="11.25" customHeight="1" x14ac:dyDescent="0.25">
      <c r="A215" s="3" t="s">
        <v>21</v>
      </c>
      <c r="B215" s="3" t="s">
        <v>35</v>
      </c>
      <c r="C215" s="3" t="s">
        <v>36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38</v>
      </c>
      <c r="I215" s="6">
        <v>44501</v>
      </c>
      <c r="J215" s="4">
        <v>0</v>
      </c>
      <c r="K215" s="4">
        <v>0</v>
      </c>
      <c r="L215" s="4">
        <v>16.084</v>
      </c>
      <c r="M215" s="4">
        <v>15.44064</v>
      </c>
      <c r="N215" s="4">
        <v>16.084</v>
      </c>
      <c r="O215" s="4">
        <v>15.44064</v>
      </c>
      <c r="P215" s="4">
        <v>0</v>
      </c>
      <c r="Q215" s="3" t="s">
        <v>26</v>
      </c>
      <c r="R215" s="3">
        <v>0</v>
      </c>
      <c r="S215" s="3" t="s">
        <v>131</v>
      </c>
      <c r="T215" s="3" t="s">
        <v>276</v>
      </c>
      <c r="U215" s="3">
        <v>0</v>
      </c>
      <c r="V215" s="3">
        <v>15</v>
      </c>
      <c r="W215" s="3">
        <v>67</v>
      </c>
    </row>
    <row r="216" spans="1:23" ht="11.25" customHeight="1" x14ac:dyDescent="0.25">
      <c r="A216" s="3" t="s">
        <v>21</v>
      </c>
      <c r="B216" s="3" t="s">
        <v>35</v>
      </c>
      <c r="C216" s="3" t="s">
        <v>36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38</v>
      </c>
      <c r="I216" s="6">
        <v>44531</v>
      </c>
      <c r="J216" s="4">
        <v>0</v>
      </c>
      <c r="K216" s="4">
        <v>0</v>
      </c>
      <c r="L216" s="4">
        <v>15.750999999999999</v>
      </c>
      <c r="M216" s="4">
        <v>15.12096</v>
      </c>
      <c r="N216" s="4">
        <v>15.750999999999999</v>
      </c>
      <c r="O216" s="4">
        <v>15.12096</v>
      </c>
      <c r="P216" s="4">
        <v>0</v>
      </c>
      <c r="Q216" s="3" t="s">
        <v>26</v>
      </c>
      <c r="R216" s="3">
        <v>0</v>
      </c>
      <c r="S216" s="3" t="s">
        <v>132</v>
      </c>
      <c r="T216" s="3" t="s">
        <v>277</v>
      </c>
      <c r="U216" s="3">
        <v>0</v>
      </c>
      <c r="V216" s="3">
        <v>15</v>
      </c>
      <c r="W216" s="3">
        <v>67</v>
      </c>
    </row>
    <row r="217" spans="1:23" ht="11.25" customHeight="1" x14ac:dyDescent="0.25">
      <c r="A217" s="3" t="s">
        <v>21</v>
      </c>
      <c r="B217" s="3" t="s">
        <v>35</v>
      </c>
      <c r="C217" s="3" t="s">
        <v>36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38</v>
      </c>
      <c r="I217" s="6">
        <v>44562</v>
      </c>
      <c r="J217" s="4">
        <v>0</v>
      </c>
      <c r="K217" s="4">
        <v>0</v>
      </c>
      <c r="L217" s="4">
        <v>14.541</v>
      </c>
      <c r="M217" s="4">
        <v>13.95936</v>
      </c>
      <c r="N217" s="4">
        <v>14.541</v>
      </c>
      <c r="O217" s="4">
        <v>13.95936</v>
      </c>
      <c r="P217" s="4">
        <v>0</v>
      </c>
      <c r="Q217" s="3" t="s">
        <v>26</v>
      </c>
      <c r="R217" s="3">
        <v>0</v>
      </c>
      <c r="S217" s="3" t="s">
        <v>133</v>
      </c>
      <c r="T217" s="3" t="s">
        <v>278</v>
      </c>
      <c r="U217" s="3">
        <v>0</v>
      </c>
      <c r="V217" s="3">
        <v>15</v>
      </c>
      <c r="W217" s="3">
        <v>67</v>
      </c>
    </row>
    <row r="218" spans="1:23" ht="11.25" customHeight="1" x14ac:dyDescent="0.25">
      <c r="A218" s="3" t="s">
        <v>21</v>
      </c>
      <c r="B218" s="3" t="s">
        <v>35</v>
      </c>
      <c r="C218" s="3" t="s">
        <v>36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38</v>
      </c>
      <c r="I218" s="6">
        <v>44593</v>
      </c>
      <c r="J218" s="4">
        <v>0</v>
      </c>
      <c r="K218" s="4">
        <v>0</v>
      </c>
      <c r="L218" s="4">
        <v>14.173</v>
      </c>
      <c r="M218" s="4">
        <v>13.60608</v>
      </c>
      <c r="N218" s="4">
        <v>14.173</v>
      </c>
      <c r="O218" s="4">
        <v>13.60608</v>
      </c>
      <c r="P218" s="4">
        <v>0</v>
      </c>
      <c r="Q218" s="3" t="s">
        <v>26</v>
      </c>
      <c r="R218" s="3">
        <v>0</v>
      </c>
      <c r="S218" s="3" t="s">
        <v>134</v>
      </c>
      <c r="T218" s="3" t="s">
        <v>279</v>
      </c>
      <c r="U218" s="3">
        <v>0</v>
      </c>
      <c r="V218" s="3">
        <v>15</v>
      </c>
      <c r="W218" s="3">
        <v>67</v>
      </c>
    </row>
    <row r="219" spans="1:23" ht="11.25" customHeight="1" x14ac:dyDescent="0.25">
      <c r="A219" s="3" t="s">
        <v>21</v>
      </c>
      <c r="B219" s="3" t="s">
        <v>35</v>
      </c>
      <c r="C219" s="3" t="s">
        <v>36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38</v>
      </c>
      <c r="I219" s="6">
        <v>44621</v>
      </c>
      <c r="J219" s="4">
        <v>0</v>
      </c>
      <c r="K219" s="4">
        <v>0</v>
      </c>
      <c r="L219" s="4">
        <v>17.863</v>
      </c>
      <c r="M219" s="4">
        <v>17.148479999999999</v>
      </c>
      <c r="N219" s="4">
        <v>17.863</v>
      </c>
      <c r="O219" s="4">
        <v>17.148479999999999</v>
      </c>
      <c r="P219" s="4">
        <v>0</v>
      </c>
      <c r="Q219" s="3" t="s">
        <v>26</v>
      </c>
      <c r="R219" s="3">
        <v>0</v>
      </c>
      <c r="S219" s="3" t="s">
        <v>135</v>
      </c>
      <c r="T219" s="3" t="s">
        <v>280</v>
      </c>
      <c r="U219" s="3">
        <v>0</v>
      </c>
      <c r="V219" s="3">
        <v>15</v>
      </c>
      <c r="W219" s="3">
        <v>67</v>
      </c>
    </row>
    <row r="220" spans="1:23" ht="11.25" customHeight="1" x14ac:dyDescent="0.25">
      <c r="A220" s="3" t="s">
        <v>21</v>
      </c>
      <c r="B220" s="3" t="s">
        <v>35</v>
      </c>
      <c r="C220" s="3" t="s">
        <v>36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38</v>
      </c>
      <c r="I220" s="6">
        <v>44652</v>
      </c>
      <c r="J220" s="4">
        <v>0</v>
      </c>
      <c r="K220" s="4">
        <v>0</v>
      </c>
      <c r="L220" s="4">
        <v>14.571</v>
      </c>
      <c r="M220" s="4">
        <v>13.988160000000001</v>
      </c>
      <c r="N220" s="4">
        <v>14.571</v>
      </c>
      <c r="O220" s="4">
        <v>13.988160000000001</v>
      </c>
      <c r="P220" s="4">
        <v>0</v>
      </c>
      <c r="Q220" s="3" t="s">
        <v>26</v>
      </c>
      <c r="R220" s="3">
        <v>0</v>
      </c>
      <c r="S220" s="3" t="s">
        <v>136</v>
      </c>
      <c r="T220" s="3" t="s">
        <v>281</v>
      </c>
      <c r="U220" s="3">
        <v>0</v>
      </c>
      <c r="V220" s="3">
        <v>15</v>
      </c>
      <c r="W220" s="3">
        <v>67</v>
      </c>
    </row>
    <row r="221" spans="1:23" ht="11.25" customHeight="1" x14ac:dyDescent="0.25">
      <c r="A221" s="3" t="s">
        <v>21</v>
      </c>
      <c r="B221" s="3" t="s">
        <v>35</v>
      </c>
      <c r="C221" s="3" t="s">
        <v>36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38</v>
      </c>
      <c r="I221" s="6">
        <v>44682</v>
      </c>
      <c r="J221" s="4">
        <v>0</v>
      </c>
      <c r="K221" s="4">
        <v>0</v>
      </c>
      <c r="L221" s="4">
        <v>71.816999999999993</v>
      </c>
      <c r="M221" s="4">
        <v>68.944320000000005</v>
      </c>
      <c r="N221" s="4">
        <v>71.816999999999993</v>
      </c>
      <c r="O221" s="4">
        <v>68.944320000000005</v>
      </c>
      <c r="P221" s="4">
        <v>0</v>
      </c>
      <c r="Q221" s="3" t="s">
        <v>26</v>
      </c>
      <c r="R221" s="3">
        <v>0</v>
      </c>
      <c r="S221" s="3" t="s">
        <v>137</v>
      </c>
      <c r="T221" s="3" t="s">
        <v>282</v>
      </c>
      <c r="U221" s="3">
        <v>0</v>
      </c>
      <c r="V221" s="3">
        <v>15</v>
      </c>
      <c r="W221" s="3">
        <v>67</v>
      </c>
    </row>
    <row r="222" spans="1:23" ht="11.25" customHeight="1" x14ac:dyDescent="0.25">
      <c r="A222" s="3" t="s">
        <v>21</v>
      </c>
      <c r="B222" s="3" t="s">
        <v>35</v>
      </c>
      <c r="C222" s="3" t="s">
        <v>36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38</v>
      </c>
      <c r="I222" s="6">
        <v>44713</v>
      </c>
      <c r="J222" s="4">
        <v>0</v>
      </c>
      <c r="K222" s="4">
        <v>0</v>
      </c>
      <c r="L222" s="4">
        <v>86.54</v>
      </c>
      <c r="M222" s="4">
        <v>83.078400000000002</v>
      </c>
      <c r="N222" s="4">
        <v>86.54</v>
      </c>
      <c r="O222" s="4">
        <v>83.078400000000002</v>
      </c>
      <c r="P222" s="4">
        <v>0</v>
      </c>
      <c r="Q222" s="3" t="s">
        <v>26</v>
      </c>
      <c r="R222" s="3">
        <v>0</v>
      </c>
      <c r="S222" s="3" t="s">
        <v>138</v>
      </c>
      <c r="T222" s="3" t="s">
        <v>283</v>
      </c>
      <c r="U222" s="3">
        <v>0</v>
      </c>
      <c r="V222" s="3">
        <v>15</v>
      </c>
      <c r="W222" s="3">
        <v>67</v>
      </c>
    </row>
    <row r="223" spans="1:23" ht="11.25" customHeight="1" x14ac:dyDescent="0.25">
      <c r="A223" s="3" t="s">
        <v>21</v>
      </c>
      <c r="B223" s="3" t="s">
        <v>35</v>
      </c>
      <c r="C223" s="3" t="s">
        <v>36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38</v>
      </c>
      <c r="I223" s="6">
        <v>44743</v>
      </c>
      <c r="J223" s="4">
        <v>0</v>
      </c>
      <c r="K223" s="4">
        <v>0</v>
      </c>
      <c r="L223" s="4">
        <v>71.212999999999994</v>
      </c>
      <c r="M223" s="4">
        <v>68.36448</v>
      </c>
      <c r="N223" s="4">
        <v>71.212999999999994</v>
      </c>
      <c r="O223" s="4">
        <v>68.36448</v>
      </c>
      <c r="P223" s="4">
        <v>0</v>
      </c>
      <c r="Q223" s="3" t="s">
        <v>26</v>
      </c>
      <c r="R223" s="3">
        <v>0</v>
      </c>
      <c r="S223" s="3" t="s">
        <v>139</v>
      </c>
      <c r="T223" s="3" t="s">
        <v>284</v>
      </c>
      <c r="U223" s="3">
        <v>0</v>
      </c>
      <c r="V223" s="3">
        <v>15</v>
      </c>
      <c r="W223" s="3">
        <v>67</v>
      </c>
    </row>
    <row r="224" spans="1:23" ht="11.25" customHeight="1" x14ac:dyDescent="0.25">
      <c r="A224" s="3" t="s">
        <v>21</v>
      </c>
      <c r="B224" s="3" t="s">
        <v>35</v>
      </c>
      <c r="C224" s="3" t="s">
        <v>36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38</v>
      </c>
      <c r="I224" s="6">
        <v>44774</v>
      </c>
      <c r="J224" s="4">
        <v>0</v>
      </c>
      <c r="K224" s="4">
        <v>0</v>
      </c>
      <c r="L224" s="4">
        <v>71.887</v>
      </c>
      <c r="M224" s="4">
        <v>69.011520000000004</v>
      </c>
      <c r="N224" s="4">
        <v>71.887</v>
      </c>
      <c r="O224" s="4">
        <v>69.011520000000004</v>
      </c>
      <c r="P224" s="4">
        <v>0</v>
      </c>
      <c r="Q224" s="3" t="s">
        <v>26</v>
      </c>
      <c r="R224" s="3">
        <v>0</v>
      </c>
      <c r="S224" s="3" t="s">
        <v>140</v>
      </c>
      <c r="T224" s="3" t="s">
        <v>285</v>
      </c>
      <c r="U224" s="3">
        <v>0</v>
      </c>
      <c r="V224" s="3">
        <v>15</v>
      </c>
      <c r="W224" s="3">
        <v>67</v>
      </c>
    </row>
    <row r="225" spans="1:23" ht="11.25" customHeight="1" x14ac:dyDescent="0.25">
      <c r="A225" s="3" t="s">
        <v>21</v>
      </c>
      <c r="B225" s="3" t="s">
        <v>35</v>
      </c>
      <c r="C225" s="3" t="s">
        <v>36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44440</v>
      </c>
      <c r="J225" s="4">
        <v>283</v>
      </c>
      <c r="K225" s="4">
        <v>271.68</v>
      </c>
      <c r="L225" s="4">
        <v>0</v>
      </c>
      <c r="M225" s="4">
        <v>0</v>
      </c>
      <c r="N225" s="4">
        <v>0</v>
      </c>
      <c r="O225" s="4">
        <v>0</v>
      </c>
      <c r="P225" s="4">
        <v>3</v>
      </c>
      <c r="Q225" s="3" t="s">
        <v>26</v>
      </c>
      <c r="R225" s="3">
        <v>0</v>
      </c>
      <c r="S225" s="3" t="s">
        <v>141</v>
      </c>
      <c r="U225" s="3">
        <v>22</v>
      </c>
      <c r="V225" s="3">
        <v>0</v>
      </c>
      <c r="W225" s="3">
        <v>0</v>
      </c>
    </row>
    <row r="226" spans="1:23" ht="11.25" customHeight="1" x14ac:dyDescent="0.25">
      <c r="A226" s="3" t="s">
        <v>21</v>
      </c>
      <c r="B226" s="3" t="s">
        <v>35</v>
      </c>
      <c r="C226" s="3" t="s">
        <v>36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44470</v>
      </c>
      <c r="J226" s="4">
        <v>240</v>
      </c>
      <c r="K226" s="4">
        <v>230.4</v>
      </c>
      <c r="L226" s="4">
        <v>0</v>
      </c>
      <c r="M226" s="4">
        <v>0</v>
      </c>
      <c r="N226" s="4">
        <v>0</v>
      </c>
      <c r="O226" s="4">
        <v>0</v>
      </c>
      <c r="P226" s="4">
        <v>3</v>
      </c>
      <c r="Q226" s="3" t="s">
        <v>26</v>
      </c>
      <c r="R226" s="3">
        <v>0</v>
      </c>
      <c r="S226" s="3" t="s">
        <v>142</v>
      </c>
      <c r="U226" s="3">
        <v>22</v>
      </c>
      <c r="V226" s="3">
        <v>0</v>
      </c>
      <c r="W226" s="3">
        <v>0</v>
      </c>
    </row>
    <row r="227" spans="1:23" ht="11.25" customHeight="1" x14ac:dyDescent="0.25">
      <c r="A227" s="3" t="s">
        <v>21</v>
      </c>
      <c r="B227" s="3" t="s">
        <v>35</v>
      </c>
      <c r="C227" s="3" t="s">
        <v>36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44501</v>
      </c>
      <c r="J227" s="4">
        <v>748</v>
      </c>
      <c r="K227" s="4">
        <v>718.08</v>
      </c>
      <c r="L227" s="4">
        <v>0</v>
      </c>
      <c r="M227" s="4">
        <v>0</v>
      </c>
      <c r="N227" s="4">
        <v>0</v>
      </c>
      <c r="O227" s="4">
        <v>0</v>
      </c>
      <c r="P227" s="4">
        <v>3</v>
      </c>
      <c r="Q227" s="3" t="s">
        <v>26</v>
      </c>
      <c r="R227" s="3">
        <v>0</v>
      </c>
      <c r="S227" s="3" t="s">
        <v>143</v>
      </c>
      <c r="U227" s="3">
        <v>22</v>
      </c>
      <c r="V227" s="3">
        <v>0</v>
      </c>
      <c r="W227" s="3">
        <v>0</v>
      </c>
    </row>
    <row r="228" spans="1:23" ht="11.25" customHeight="1" x14ac:dyDescent="0.25">
      <c r="A228" s="3" t="s">
        <v>21</v>
      </c>
      <c r="B228" s="3" t="s">
        <v>35</v>
      </c>
      <c r="C228" s="3" t="s">
        <v>36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44531</v>
      </c>
      <c r="J228" s="4">
        <v>176</v>
      </c>
      <c r="K228" s="4">
        <v>168.96</v>
      </c>
      <c r="L228" s="4">
        <v>0</v>
      </c>
      <c r="M228" s="4">
        <v>0</v>
      </c>
      <c r="N228" s="4">
        <v>0</v>
      </c>
      <c r="O228" s="4">
        <v>0</v>
      </c>
      <c r="P228" s="4">
        <v>3</v>
      </c>
      <c r="Q228" s="3" t="s">
        <v>26</v>
      </c>
      <c r="R228" s="3">
        <v>0</v>
      </c>
      <c r="S228" s="3" t="s">
        <v>144</v>
      </c>
      <c r="U228" s="3">
        <v>22</v>
      </c>
      <c r="V228" s="3">
        <v>0</v>
      </c>
      <c r="W228" s="3">
        <v>0</v>
      </c>
    </row>
    <row r="229" spans="1:23" ht="11.25" customHeight="1" x14ac:dyDescent="0.25">
      <c r="A229" s="3" t="s">
        <v>21</v>
      </c>
      <c r="B229" s="3" t="s">
        <v>35</v>
      </c>
      <c r="C229" s="3" t="s">
        <v>36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44562</v>
      </c>
      <c r="J229" s="4">
        <v>147</v>
      </c>
      <c r="K229" s="4">
        <v>141.12</v>
      </c>
      <c r="L229" s="4">
        <v>0</v>
      </c>
      <c r="M229" s="4">
        <v>0</v>
      </c>
      <c r="N229" s="4">
        <v>0</v>
      </c>
      <c r="O229" s="4">
        <v>0</v>
      </c>
      <c r="P229" s="4">
        <v>3</v>
      </c>
      <c r="Q229" s="3" t="s">
        <v>26</v>
      </c>
      <c r="R229" s="3">
        <v>0</v>
      </c>
      <c r="S229" s="3" t="s">
        <v>145</v>
      </c>
      <c r="U229" s="3">
        <v>22</v>
      </c>
      <c r="V229" s="3">
        <v>0</v>
      </c>
      <c r="W229" s="3">
        <v>0</v>
      </c>
    </row>
    <row r="230" spans="1:23" ht="11.25" customHeight="1" x14ac:dyDescent="0.25">
      <c r="A230" s="3" t="s">
        <v>21</v>
      </c>
      <c r="B230" s="3" t="s">
        <v>35</v>
      </c>
      <c r="C230" s="3" t="s">
        <v>36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44593</v>
      </c>
      <c r="J230" s="4">
        <v>158</v>
      </c>
      <c r="K230" s="4">
        <v>151.68</v>
      </c>
      <c r="L230" s="4">
        <v>0</v>
      </c>
      <c r="M230" s="4">
        <v>0</v>
      </c>
      <c r="N230" s="4">
        <v>0</v>
      </c>
      <c r="O230" s="4">
        <v>0</v>
      </c>
      <c r="P230" s="4">
        <v>3</v>
      </c>
      <c r="Q230" s="3" t="s">
        <v>26</v>
      </c>
      <c r="R230" s="3">
        <v>0</v>
      </c>
      <c r="S230" s="3" t="s">
        <v>146</v>
      </c>
      <c r="U230" s="3">
        <v>22</v>
      </c>
      <c r="V230" s="3">
        <v>0</v>
      </c>
      <c r="W230" s="3">
        <v>0</v>
      </c>
    </row>
    <row r="231" spans="1:23" ht="11.25" customHeight="1" x14ac:dyDescent="0.25">
      <c r="A231" s="3" t="s">
        <v>21</v>
      </c>
      <c r="B231" s="3" t="s">
        <v>35</v>
      </c>
      <c r="C231" s="3" t="s">
        <v>36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44621</v>
      </c>
      <c r="J231" s="4">
        <v>158</v>
      </c>
      <c r="K231" s="4">
        <v>151.68</v>
      </c>
      <c r="L231" s="4">
        <v>0</v>
      </c>
      <c r="M231" s="4">
        <v>0</v>
      </c>
      <c r="N231" s="4">
        <v>0</v>
      </c>
      <c r="O231" s="4">
        <v>0</v>
      </c>
      <c r="P231" s="4">
        <v>3</v>
      </c>
      <c r="Q231" s="3" t="s">
        <v>26</v>
      </c>
      <c r="R231" s="3">
        <v>0</v>
      </c>
      <c r="S231" s="3" t="s">
        <v>147</v>
      </c>
      <c r="U231" s="3">
        <v>22</v>
      </c>
      <c r="V231" s="3">
        <v>0</v>
      </c>
      <c r="W231" s="3">
        <v>0</v>
      </c>
    </row>
    <row r="232" spans="1:23" ht="11.25" customHeight="1" x14ac:dyDescent="0.25">
      <c r="A232" s="3" t="s">
        <v>21</v>
      </c>
      <c r="B232" s="3" t="s">
        <v>35</v>
      </c>
      <c r="C232" s="3" t="s">
        <v>36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44652</v>
      </c>
      <c r="J232" s="4">
        <v>151</v>
      </c>
      <c r="K232" s="4">
        <v>144.96</v>
      </c>
      <c r="L232" s="4">
        <v>0</v>
      </c>
      <c r="M232" s="4">
        <v>0</v>
      </c>
      <c r="N232" s="4">
        <v>0</v>
      </c>
      <c r="O232" s="4">
        <v>0</v>
      </c>
      <c r="P232" s="4">
        <v>3</v>
      </c>
      <c r="Q232" s="3" t="s">
        <v>26</v>
      </c>
      <c r="R232" s="3">
        <v>0</v>
      </c>
      <c r="S232" s="3" t="s">
        <v>148</v>
      </c>
      <c r="U232" s="3">
        <v>22</v>
      </c>
      <c r="V232" s="3">
        <v>0</v>
      </c>
      <c r="W232" s="3">
        <v>0</v>
      </c>
    </row>
    <row r="233" spans="1:23" ht="11.25" customHeight="1" x14ac:dyDescent="0.25">
      <c r="A233" s="3" t="s">
        <v>21</v>
      </c>
      <c r="B233" s="3" t="s">
        <v>35</v>
      </c>
      <c r="C233" s="3" t="s">
        <v>36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44682</v>
      </c>
      <c r="J233" s="4">
        <v>465</v>
      </c>
      <c r="K233" s="4">
        <v>446.4</v>
      </c>
      <c r="L233" s="4">
        <v>0</v>
      </c>
      <c r="M233" s="4">
        <v>0</v>
      </c>
      <c r="N233" s="4">
        <v>0</v>
      </c>
      <c r="O233" s="4">
        <v>0</v>
      </c>
      <c r="P233" s="4">
        <v>3</v>
      </c>
      <c r="Q233" s="3" t="s">
        <v>26</v>
      </c>
      <c r="R233" s="3">
        <v>0</v>
      </c>
      <c r="S233" s="3" t="s">
        <v>149</v>
      </c>
      <c r="U233" s="3">
        <v>22</v>
      </c>
      <c r="V233" s="3">
        <v>0</v>
      </c>
      <c r="W233" s="3">
        <v>0</v>
      </c>
    </row>
    <row r="234" spans="1:23" ht="11.25" customHeight="1" x14ac:dyDescent="0.25">
      <c r="A234" s="3" t="s">
        <v>21</v>
      </c>
      <c r="B234" s="3" t="s">
        <v>35</v>
      </c>
      <c r="C234" s="3" t="s">
        <v>36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44713</v>
      </c>
      <c r="J234" s="4">
        <v>260</v>
      </c>
      <c r="K234" s="4">
        <v>249.6</v>
      </c>
      <c r="L234" s="4">
        <v>0</v>
      </c>
      <c r="M234" s="4">
        <v>0</v>
      </c>
      <c r="N234" s="4">
        <v>0</v>
      </c>
      <c r="O234" s="4">
        <v>0</v>
      </c>
      <c r="P234" s="4">
        <v>3</v>
      </c>
      <c r="Q234" s="3" t="s">
        <v>26</v>
      </c>
      <c r="R234" s="3">
        <v>0</v>
      </c>
      <c r="S234" s="3" t="s">
        <v>150</v>
      </c>
      <c r="U234" s="3">
        <v>22</v>
      </c>
      <c r="V234" s="3">
        <v>0</v>
      </c>
      <c r="W234" s="3">
        <v>0</v>
      </c>
    </row>
    <row r="235" spans="1:23" ht="11.25" customHeight="1" x14ac:dyDescent="0.25">
      <c r="A235" s="3" t="s">
        <v>21</v>
      </c>
      <c r="B235" s="3" t="s">
        <v>35</v>
      </c>
      <c r="C235" s="3" t="s">
        <v>36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44743</v>
      </c>
      <c r="J235" s="4">
        <v>237</v>
      </c>
      <c r="K235" s="4">
        <v>227.52</v>
      </c>
      <c r="L235" s="4">
        <v>0</v>
      </c>
      <c r="M235" s="4">
        <v>0</v>
      </c>
      <c r="N235" s="4">
        <v>0</v>
      </c>
      <c r="O235" s="4">
        <v>0</v>
      </c>
      <c r="P235" s="4">
        <v>3</v>
      </c>
      <c r="Q235" s="3" t="s">
        <v>26</v>
      </c>
      <c r="R235" s="3">
        <v>0</v>
      </c>
      <c r="S235" s="3" t="s">
        <v>151</v>
      </c>
      <c r="U235" s="3">
        <v>22</v>
      </c>
      <c r="V235" s="3">
        <v>0</v>
      </c>
      <c r="W235" s="3">
        <v>0</v>
      </c>
    </row>
    <row r="236" spans="1:23" ht="11.25" customHeight="1" x14ac:dyDescent="0.25">
      <c r="A236" s="3" t="s">
        <v>21</v>
      </c>
      <c r="B236" s="3" t="s">
        <v>35</v>
      </c>
      <c r="C236" s="3" t="s">
        <v>36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44774</v>
      </c>
      <c r="J236" s="4">
        <v>228</v>
      </c>
      <c r="K236" s="4">
        <v>218.88</v>
      </c>
      <c r="L236" s="4">
        <v>0</v>
      </c>
      <c r="M236" s="4">
        <v>0</v>
      </c>
      <c r="N236" s="4">
        <v>0</v>
      </c>
      <c r="O236" s="4">
        <v>0</v>
      </c>
      <c r="P236" s="4">
        <v>3</v>
      </c>
      <c r="Q236" s="3" t="s">
        <v>26</v>
      </c>
      <c r="R236" s="3">
        <v>0</v>
      </c>
      <c r="S236" s="3" t="s">
        <v>152</v>
      </c>
      <c r="U236" s="3">
        <v>22</v>
      </c>
      <c r="V236" s="3">
        <v>0</v>
      </c>
      <c r="W236" s="3">
        <v>0</v>
      </c>
    </row>
    <row r="237" spans="1:23" ht="11.25" customHeight="1" x14ac:dyDescent="0.25">
      <c r="A237" s="3" t="s">
        <v>21</v>
      </c>
      <c r="B237" s="3" t="s">
        <v>35</v>
      </c>
      <c r="C237" s="3" t="s">
        <v>36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37</v>
      </c>
      <c r="I237" s="6">
        <v>44440</v>
      </c>
      <c r="J237" s="4">
        <v>0</v>
      </c>
      <c r="K237" s="4">
        <v>0</v>
      </c>
      <c r="L237" s="4">
        <v>4.2469999999999999</v>
      </c>
      <c r="M237" s="4">
        <v>4.0771199999999999</v>
      </c>
      <c r="N237" s="4">
        <v>4.2469999999999999</v>
      </c>
      <c r="O237" s="4">
        <v>4.0771199999999999</v>
      </c>
      <c r="P237" s="4">
        <v>0</v>
      </c>
      <c r="Q237" s="3" t="s">
        <v>26</v>
      </c>
      <c r="R237" s="3">
        <v>0</v>
      </c>
      <c r="S237" s="3" t="s">
        <v>153</v>
      </c>
      <c r="T237" s="3" t="s">
        <v>290</v>
      </c>
      <c r="U237" s="3">
        <v>0</v>
      </c>
      <c r="V237" s="3">
        <v>33</v>
      </c>
      <c r="W237" s="3">
        <v>51</v>
      </c>
    </row>
    <row r="238" spans="1:23" ht="11.25" customHeight="1" x14ac:dyDescent="0.25">
      <c r="A238" s="3" t="s">
        <v>21</v>
      </c>
      <c r="B238" s="3" t="s">
        <v>35</v>
      </c>
      <c r="C238" s="3" t="s">
        <v>36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37</v>
      </c>
      <c r="I238" s="6">
        <v>44470</v>
      </c>
      <c r="J238" s="4">
        <v>0</v>
      </c>
      <c r="K238" s="4">
        <v>0</v>
      </c>
      <c r="L238" s="4">
        <v>1.5149999999999999</v>
      </c>
      <c r="M238" s="4">
        <v>1.4543999999999999</v>
      </c>
      <c r="N238" s="4">
        <v>1.5149999999999999</v>
      </c>
      <c r="O238" s="4">
        <v>1.4543999999999999</v>
      </c>
      <c r="P238" s="4">
        <v>0</v>
      </c>
      <c r="Q238" s="3" t="s">
        <v>26</v>
      </c>
      <c r="R238" s="3">
        <v>0</v>
      </c>
      <c r="S238" s="3" t="s">
        <v>154</v>
      </c>
      <c r="T238" s="3" t="s">
        <v>291</v>
      </c>
      <c r="U238" s="3">
        <v>0</v>
      </c>
      <c r="V238" s="3">
        <v>33</v>
      </c>
      <c r="W238" s="3">
        <v>51</v>
      </c>
    </row>
    <row r="239" spans="1:23" ht="11.25" customHeight="1" x14ac:dyDescent="0.25">
      <c r="A239" s="3" t="s">
        <v>21</v>
      </c>
      <c r="B239" s="3" t="s">
        <v>35</v>
      </c>
      <c r="C239" s="3" t="s">
        <v>36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37</v>
      </c>
      <c r="I239" s="6">
        <v>44501</v>
      </c>
      <c r="J239" s="4">
        <v>0</v>
      </c>
      <c r="K239" s="4">
        <v>0</v>
      </c>
      <c r="L239" s="4">
        <v>1.4079999999999999</v>
      </c>
      <c r="M239" s="4">
        <v>1.35168</v>
      </c>
      <c r="N239" s="4">
        <v>1.4079999999999999</v>
      </c>
      <c r="O239" s="4">
        <v>1.35168</v>
      </c>
      <c r="P239" s="4">
        <v>0</v>
      </c>
      <c r="Q239" s="3" t="s">
        <v>26</v>
      </c>
      <c r="R239" s="3">
        <v>0</v>
      </c>
      <c r="S239" s="3" t="s">
        <v>155</v>
      </c>
      <c r="T239" s="3" t="s">
        <v>292</v>
      </c>
      <c r="U239" s="3">
        <v>0</v>
      </c>
      <c r="V239" s="3">
        <v>33</v>
      </c>
      <c r="W239" s="3">
        <v>51</v>
      </c>
    </row>
    <row r="240" spans="1:23" ht="11.25" customHeight="1" x14ac:dyDescent="0.25">
      <c r="A240" s="3" t="s">
        <v>21</v>
      </c>
      <c r="B240" s="3" t="s">
        <v>35</v>
      </c>
      <c r="C240" s="3" t="s">
        <v>36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37</v>
      </c>
      <c r="I240" s="6">
        <v>44531</v>
      </c>
      <c r="J240" s="4">
        <v>0</v>
      </c>
      <c r="K240" s="4">
        <v>0</v>
      </c>
      <c r="L240" s="4">
        <v>1.385</v>
      </c>
      <c r="M240" s="4">
        <v>1.3295999999999999</v>
      </c>
      <c r="N240" s="4">
        <v>1.385</v>
      </c>
      <c r="O240" s="4">
        <v>1.3295999999999999</v>
      </c>
      <c r="P240" s="4">
        <v>0</v>
      </c>
      <c r="Q240" s="3" t="s">
        <v>26</v>
      </c>
      <c r="R240" s="3">
        <v>0</v>
      </c>
      <c r="S240" s="3" t="s">
        <v>156</v>
      </c>
      <c r="T240" s="3" t="s">
        <v>293</v>
      </c>
      <c r="U240" s="3">
        <v>0</v>
      </c>
      <c r="V240" s="3">
        <v>33</v>
      </c>
      <c r="W240" s="3">
        <v>51</v>
      </c>
    </row>
    <row r="241" spans="1:23" ht="11.25" customHeight="1" x14ac:dyDescent="0.25">
      <c r="A241" s="3" t="s">
        <v>21</v>
      </c>
      <c r="B241" s="3" t="s">
        <v>35</v>
      </c>
      <c r="C241" s="3" t="s">
        <v>36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37</v>
      </c>
      <c r="I241" s="6">
        <v>44562</v>
      </c>
      <c r="J241" s="4">
        <v>0</v>
      </c>
      <c r="K241" s="4">
        <v>0</v>
      </c>
      <c r="L241" s="4">
        <v>1.2430000000000001</v>
      </c>
      <c r="M241" s="4">
        <v>1.1932799999999999</v>
      </c>
      <c r="N241" s="4">
        <v>1.2430000000000001</v>
      </c>
      <c r="O241" s="4">
        <v>1.1932799999999999</v>
      </c>
      <c r="P241" s="4">
        <v>0</v>
      </c>
      <c r="Q241" s="3" t="s">
        <v>26</v>
      </c>
      <c r="R241" s="3">
        <v>0</v>
      </c>
      <c r="S241" s="3" t="s">
        <v>157</v>
      </c>
      <c r="T241" s="3" t="s">
        <v>294</v>
      </c>
      <c r="U241" s="3">
        <v>0</v>
      </c>
      <c r="V241" s="3">
        <v>33</v>
      </c>
      <c r="W241" s="3">
        <v>51</v>
      </c>
    </row>
    <row r="242" spans="1:23" ht="11.25" customHeight="1" x14ac:dyDescent="0.25">
      <c r="A242" s="3" t="s">
        <v>21</v>
      </c>
      <c r="B242" s="3" t="s">
        <v>35</v>
      </c>
      <c r="C242" s="3" t="s">
        <v>36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37</v>
      </c>
      <c r="I242" s="6">
        <v>44593</v>
      </c>
      <c r="J242" s="4">
        <v>0</v>
      </c>
      <c r="K242" s="4">
        <v>0</v>
      </c>
      <c r="L242" s="4">
        <v>1.1970000000000001</v>
      </c>
      <c r="M242" s="4">
        <v>1.1491199999999999</v>
      </c>
      <c r="N242" s="4">
        <v>1.1970000000000001</v>
      </c>
      <c r="O242" s="4">
        <v>1.1491199999999999</v>
      </c>
      <c r="P242" s="4">
        <v>0</v>
      </c>
      <c r="Q242" s="3" t="s">
        <v>26</v>
      </c>
      <c r="R242" s="3">
        <v>0</v>
      </c>
      <c r="S242" s="3" t="s">
        <v>158</v>
      </c>
      <c r="T242" s="3" t="s">
        <v>295</v>
      </c>
      <c r="U242" s="3">
        <v>0</v>
      </c>
      <c r="V242" s="3">
        <v>33</v>
      </c>
      <c r="W242" s="3">
        <v>51</v>
      </c>
    </row>
    <row r="243" spans="1:23" ht="11.25" customHeight="1" x14ac:dyDescent="0.25">
      <c r="A243" s="3" t="s">
        <v>21</v>
      </c>
      <c r="B243" s="3" t="s">
        <v>35</v>
      </c>
      <c r="C243" s="3" t="s">
        <v>36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37</v>
      </c>
      <c r="I243" s="6">
        <v>44621</v>
      </c>
      <c r="J243" s="4">
        <v>0</v>
      </c>
      <c r="K243" s="4">
        <v>0</v>
      </c>
      <c r="L243" s="4">
        <v>1.4970000000000001</v>
      </c>
      <c r="M243" s="4">
        <v>1.43712</v>
      </c>
      <c r="N243" s="4">
        <v>1.4970000000000001</v>
      </c>
      <c r="O243" s="4">
        <v>1.43712</v>
      </c>
      <c r="P243" s="4">
        <v>0</v>
      </c>
      <c r="Q243" s="3" t="s">
        <v>26</v>
      </c>
      <c r="R243" s="3">
        <v>0</v>
      </c>
      <c r="S243" s="3" t="s">
        <v>159</v>
      </c>
      <c r="T243" s="3" t="s">
        <v>296</v>
      </c>
      <c r="U243" s="3">
        <v>0</v>
      </c>
      <c r="V243" s="3">
        <v>33</v>
      </c>
      <c r="W243" s="3">
        <v>51</v>
      </c>
    </row>
    <row r="244" spans="1:23" ht="11.25" customHeight="1" x14ac:dyDescent="0.25">
      <c r="A244" s="3" t="s">
        <v>21</v>
      </c>
      <c r="B244" s="3" t="s">
        <v>35</v>
      </c>
      <c r="C244" s="3" t="s">
        <v>36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37</v>
      </c>
      <c r="I244" s="6">
        <v>44652</v>
      </c>
      <c r="J244" s="4">
        <v>0</v>
      </c>
      <c r="K244" s="4">
        <v>0</v>
      </c>
      <c r="L244" s="4">
        <v>1.2509999999999999</v>
      </c>
      <c r="M244" s="4">
        <v>1.20096</v>
      </c>
      <c r="N244" s="4">
        <v>1.2509999999999999</v>
      </c>
      <c r="O244" s="4">
        <v>1.20096</v>
      </c>
      <c r="P244" s="4">
        <v>0</v>
      </c>
      <c r="Q244" s="3" t="s">
        <v>26</v>
      </c>
      <c r="R244" s="3">
        <v>0</v>
      </c>
      <c r="S244" s="3" t="s">
        <v>160</v>
      </c>
      <c r="T244" s="3" t="s">
        <v>297</v>
      </c>
      <c r="U244" s="3">
        <v>0</v>
      </c>
      <c r="V244" s="3">
        <v>33</v>
      </c>
      <c r="W244" s="3">
        <v>51</v>
      </c>
    </row>
    <row r="245" spans="1:23" ht="11.25" customHeight="1" x14ac:dyDescent="0.25">
      <c r="A245" s="3" t="s">
        <v>21</v>
      </c>
      <c r="B245" s="3" t="s">
        <v>35</v>
      </c>
      <c r="C245" s="3" t="s">
        <v>36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37</v>
      </c>
      <c r="I245" s="6">
        <v>44682</v>
      </c>
      <c r="J245" s="4">
        <v>0</v>
      </c>
      <c r="K245" s="4">
        <v>0</v>
      </c>
      <c r="L245" s="4">
        <v>6.758</v>
      </c>
      <c r="M245" s="4">
        <v>6.4876800000000001</v>
      </c>
      <c r="N245" s="4">
        <v>6.758</v>
      </c>
      <c r="O245" s="4">
        <v>6.4876800000000001</v>
      </c>
      <c r="P245" s="4">
        <v>0</v>
      </c>
      <c r="Q245" s="3" t="s">
        <v>26</v>
      </c>
      <c r="R245" s="3">
        <v>0</v>
      </c>
      <c r="S245" s="3" t="s">
        <v>161</v>
      </c>
      <c r="T245" s="3" t="s">
        <v>298</v>
      </c>
      <c r="U245" s="3">
        <v>0</v>
      </c>
      <c r="V245" s="3">
        <v>33</v>
      </c>
      <c r="W245" s="3">
        <v>51</v>
      </c>
    </row>
    <row r="246" spans="1:23" ht="11.25" customHeight="1" x14ac:dyDescent="0.25">
      <c r="A246" s="3" t="s">
        <v>21</v>
      </c>
      <c r="B246" s="3" t="s">
        <v>35</v>
      </c>
      <c r="C246" s="3" t="s">
        <v>36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37</v>
      </c>
      <c r="I246" s="6">
        <v>44713</v>
      </c>
      <c r="J246" s="4">
        <v>0</v>
      </c>
      <c r="K246" s="4">
        <v>0</v>
      </c>
      <c r="L246" s="4">
        <v>8.375</v>
      </c>
      <c r="M246" s="4">
        <v>8.0399999999999991</v>
      </c>
      <c r="N246" s="4">
        <v>8.375</v>
      </c>
      <c r="O246" s="4">
        <v>8.0399999999999991</v>
      </c>
      <c r="P246" s="4">
        <v>0</v>
      </c>
      <c r="Q246" s="3" t="s">
        <v>26</v>
      </c>
      <c r="R246" s="3">
        <v>0</v>
      </c>
      <c r="S246" s="3" t="s">
        <v>162</v>
      </c>
      <c r="T246" s="3" t="s">
        <v>299</v>
      </c>
      <c r="U246" s="3">
        <v>0</v>
      </c>
      <c r="V246" s="3">
        <v>33</v>
      </c>
      <c r="W246" s="3">
        <v>51</v>
      </c>
    </row>
    <row r="247" spans="1:23" ht="11.25" customHeight="1" x14ac:dyDescent="0.25">
      <c r="A247" s="3" t="s">
        <v>21</v>
      </c>
      <c r="B247" s="3" t="s">
        <v>35</v>
      </c>
      <c r="C247" s="3" t="s">
        <v>36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37</v>
      </c>
      <c r="I247" s="6">
        <v>44743</v>
      </c>
      <c r="J247" s="4">
        <v>0</v>
      </c>
      <c r="K247" s="4">
        <v>0</v>
      </c>
      <c r="L247" s="4">
        <v>6.0789999999999997</v>
      </c>
      <c r="M247" s="4">
        <v>5.8358400000000001</v>
      </c>
      <c r="N247" s="4">
        <v>6.0789999999999997</v>
      </c>
      <c r="O247" s="4">
        <v>5.8358400000000001</v>
      </c>
      <c r="P247" s="4">
        <v>0</v>
      </c>
      <c r="Q247" s="3" t="s">
        <v>26</v>
      </c>
      <c r="R247" s="3">
        <v>0</v>
      </c>
      <c r="S247" s="3" t="s">
        <v>163</v>
      </c>
      <c r="T247" s="3" t="s">
        <v>300</v>
      </c>
      <c r="U247" s="3">
        <v>0</v>
      </c>
      <c r="V247" s="3">
        <v>33</v>
      </c>
      <c r="W247" s="3">
        <v>51</v>
      </c>
    </row>
    <row r="248" spans="1:23" ht="11.25" customHeight="1" x14ac:dyDescent="0.25">
      <c r="A248" s="3" t="s">
        <v>21</v>
      </c>
      <c r="B248" s="3" t="s">
        <v>35</v>
      </c>
      <c r="C248" s="3" t="s">
        <v>36</v>
      </c>
      <c r="D248" s="3" t="s">
        <v>41</v>
      </c>
      <c r="E248" s="3" t="s">
        <v>25</v>
      </c>
      <c r="F248" s="3" t="s">
        <v>25</v>
      </c>
      <c r="G248" s="3" t="s">
        <v>25</v>
      </c>
      <c r="H248" s="3" t="s">
        <v>37</v>
      </c>
      <c r="I248" s="6">
        <v>44774</v>
      </c>
      <c r="J248" s="4">
        <v>0</v>
      </c>
      <c r="K248" s="4">
        <v>0</v>
      </c>
      <c r="L248" s="4">
        <v>7.3</v>
      </c>
      <c r="M248" s="4">
        <v>7.008</v>
      </c>
      <c r="N248" s="4">
        <v>7.3</v>
      </c>
      <c r="O248" s="4">
        <v>7.008</v>
      </c>
      <c r="P248" s="4">
        <v>0</v>
      </c>
      <c r="Q248" s="3" t="s">
        <v>26</v>
      </c>
      <c r="R248" s="3">
        <v>0</v>
      </c>
      <c r="S248" s="3" t="s">
        <v>164</v>
      </c>
      <c r="T248" s="3" t="s">
        <v>301</v>
      </c>
      <c r="U248" s="3">
        <v>0</v>
      </c>
      <c r="V248" s="3">
        <v>33</v>
      </c>
      <c r="W248" s="3">
        <v>51</v>
      </c>
    </row>
    <row r="249" spans="1:23" ht="11.25" customHeight="1" x14ac:dyDescent="0.25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44440</v>
      </c>
      <c r="J249" s="4">
        <v>0</v>
      </c>
      <c r="K249" s="4">
        <v>0</v>
      </c>
      <c r="L249" s="4">
        <v>544.54100000000005</v>
      </c>
      <c r="M249" s="4">
        <v>544.54100000000005</v>
      </c>
      <c r="N249" s="4">
        <v>544.54100000000005</v>
      </c>
      <c r="O249" s="4">
        <v>544.54100000000005</v>
      </c>
      <c r="P249" s="4">
        <v>3503</v>
      </c>
      <c r="Q249" s="3" t="s">
        <v>26</v>
      </c>
      <c r="R249" s="3">
        <v>0</v>
      </c>
      <c r="S249" s="3" t="s">
        <v>165</v>
      </c>
      <c r="T249" s="3" t="s">
        <v>302</v>
      </c>
      <c r="U249" s="3">
        <v>0</v>
      </c>
      <c r="V249" s="3">
        <v>6</v>
      </c>
      <c r="W249" s="3">
        <v>32</v>
      </c>
    </row>
    <row r="250" spans="1:23" ht="11.25" customHeight="1" x14ac:dyDescent="0.25">
      <c r="A250" s="3" t="s">
        <v>27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44440</v>
      </c>
      <c r="J250" s="4">
        <v>0</v>
      </c>
      <c r="K250" s="4">
        <v>0</v>
      </c>
      <c r="L250" s="4">
        <v>-0.17699999999999999</v>
      </c>
      <c r="M250" s="4">
        <v>-0.17699999999999999</v>
      </c>
      <c r="N250" s="4">
        <v>-0.17699999999999999</v>
      </c>
      <c r="O250" s="4">
        <v>-0.17699999999999999</v>
      </c>
      <c r="P250" s="4">
        <v>0</v>
      </c>
      <c r="Q250" s="3" t="s">
        <v>26</v>
      </c>
      <c r="R250" s="3">
        <v>0</v>
      </c>
      <c r="S250" s="3" t="s">
        <v>165</v>
      </c>
      <c r="T250" s="3" t="s">
        <v>302</v>
      </c>
      <c r="U250" s="3">
        <v>0</v>
      </c>
      <c r="V250" s="3">
        <v>6</v>
      </c>
      <c r="W250" s="3">
        <v>32</v>
      </c>
    </row>
    <row r="251" spans="1:23" ht="11.25" customHeight="1" x14ac:dyDescent="0.25">
      <c r="A251" s="3" t="s">
        <v>28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44440</v>
      </c>
      <c r="J251" s="4">
        <v>0</v>
      </c>
      <c r="K251" s="4">
        <v>0</v>
      </c>
      <c r="L251" s="4">
        <v>1.4990000000000001</v>
      </c>
      <c r="M251" s="4">
        <v>1.4990000000000001</v>
      </c>
      <c r="N251" s="4">
        <v>1.4990000000000001</v>
      </c>
      <c r="O251" s="4">
        <v>1.4990000000000001</v>
      </c>
      <c r="P251" s="4">
        <v>13</v>
      </c>
      <c r="Q251" s="3" t="s">
        <v>26</v>
      </c>
      <c r="R251" s="3">
        <v>0</v>
      </c>
      <c r="S251" s="3" t="s">
        <v>165</v>
      </c>
      <c r="T251" s="3" t="s">
        <v>302</v>
      </c>
      <c r="U251" s="3">
        <v>0</v>
      </c>
      <c r="V251" s="3">
        <v>6</v>
      </c>
      <c r="W251" s="3">
        <v>32</v>
      </c>
    </row>
    <row r="252" spans="1:2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44470</v>
      </c>
      <c r="J252" s="4">
        <v>0</v>
      </c>
      <c r="K252" s="4">
        <v>0</v>
      </c>
      <c r="L252" s="4">
        <v>573.27800000000002</v>
      </c>
      <c r="M252" s="4">
        <v>573.27800000000002</v>
      </c>
      <c r="N252" s="4">
        <v>573.27800000000002</v>
      </c>
      <c r="O252" s="4">
        <v>573.27800000000002</v>
      </c>
      <c r="P252" s="4">
        <v>3514</v>
      </c>
      <c r="Q252" s="3" t="s">
        <v>26</v>
      </c>
      <c r="R252" s="3">
        <v>0</v>
      </c>
      <c r="S252" s="3" t="s">
        <v>166</v>
      </c>
      <c r="T252" s="3" t="s">
        <v>303</v>
      </c>
      <c r="U252" s="3">
        <v>0</v>
      </c>
      <c r="V252" s="3">
        <v>6</v>
      </c>
      <c r="W252" s="3">
        <v>32</v>
      </c>
    </row>
    <row r="253" spans="1:23" ht="11.25" customHeight="1" x14ac:dyDescent="0.25">
      <c r="A253" s="3" t="s">
        <v>27</v>
      </c>
      <c r="B253" s="3" t="s">
        <v>22</v>
      </c>
      <c r="C253" s="3" t="s">
        <v>23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25</v>
      </c>
      <c r="I253" s="6">
        <v>44470</v>
      </c>
      <c r="J253" s="4">
        <v>0</v>
      </c>
      <c r="K253" s="4">
        <v>0</v>
      </c>
      <c r="L253" s="4">
        <v>-0.42</v>
      </c>
      <c r="M253" s="4">
        <v>-0.42</v>
      </c>
      <c r="N253" s="4">
        <v>-0.42</v>
      </c>
      <c r="O253" s="4">
        <v>-0.42</v>
      </c>
      <c r="P253" s="4">
        <v>0</v>
      </c>
      <c r="Q253" s="3" t="s">
        <v>26</v>
      </c>
      <c r="R253" s="3">
        <v>0</v>
      </c>
      <c r="S253" s="3" t="s">
        <v>166</v>
      </c>
      <c r="T253" s="3" t="s">
        <v>303</v>
      </c>
      <c r="U253" s="3">
        <v>0</v>
      </c>
      <c r="V253" s="3">
        <v>6</v>
      </c>
      <c r="W253" s="3">
        <v>32</v>
      </c>
    </row>
    <row r="254" spans="1:23" ht="11.25" customHeight="1" x14ac:dyDescent="0.25">
      <c r="A254" s="3" t="s">
        <v>28</v>
      </c>
      <c r="B254" s="3" t="s">
        <v>22</v>
      </c>
      <c r="C254" s="3" t="s">
        <v>23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25</v>
      </c>
      <c r="I254" s="6">
        <v>44470</v>
      </c>
      <c r="J254" s="4">
        <v>0</v>
      </c>
      <c r="K254" s="4">
        <v>0</v>
      </c>
      <c r="L254" s="4">
        <v>2.004</v>
      </c>
      <c r="M254" s="4">
        <v>2.004</v>
      </c>
      <c r="N254" s="4">
        <v>2.004</v>
      </c>
      <c r="O254" s="4">
        <v>2.004</v>
      </c>
      <c r="P254" s="4">
        <v>15</v>
      </c>
      <c r="Q254" s="3" t="s">
        <v>26</v>
      </c>
      <c r="R254" s="3">
        <v>0</v>
      </c>
      <c r="S254" s="3" t="s">
        <v>166</v>
      </c>
      <c r="T254" s="3" t="s">
        <v>303</v>
      </c>
      <c r="U254" s="3">
        <v>0</v>
      </c>
      <c r="V254" s="3">
        <v>6</v>
      </c>
      <c r="W254" s="3">
        <v>32</v>
      </c>
    </row>
    <row r="255" spans="1:2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25</v>
      </c>
      <c r="I255" s="6">
        <v>44501</v>
      </c>
      <c r="J255" s="4">
        <v>0</v>
      </c>
      <c r="K255" s="4">
        <v>0</v>
      </c>
      <c r="L255" s="4">
        <v>566.21199999999999</v>
      </c>
      <c r="M255" s="4">
        <v>566.21199999999999</v>
      </c>
      <c r="N255" s="4">
        <v>566.21199999999999</v>
      </c>
      <c r="O255" s="4">
        <v>566.21199999999999</v>
      </c>
      <c r="P255" s="4">
        <v>3523</v>
      </c>
      <c r="Q255" s="3" t="s">
        <v>26</v>
      </c>
      <c r="R255" s="3">
        <v>0</v>
      </c>
      <c r="S255" s="3" t="s">
        <v>167</v>
      </c>
      <c r="T255" s="3" t="s">
        <v>304</v>
      </c>
      <c r="U255" s="3">
        <v>0</v>
      </c>
      <c r="V255" s="3">
        <v>6</v>
      </c>
      <c r="W255" s="3">
        <v>32</v>
      </c>
    </row>
    <row r="256" spans="1:23" ht="11.25" customHeight="1" x14ac:dyDescent="0.25">
      <c r="A256" s="3" t="s">
        <v>27</v>
      </c>
      <c r="B256" s="3" t="s">
        <v>22</v>
      </c>
      <c r="C256" s="3" t="s">
        <v>23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25</v>
      </c>
      <c r="I256" s="6">
        <v>44501</v>
      </c>
      <c r="J256" s="4">
        <v>0</v>
      </c>
      <c r="K256" s="4">
        <v>0</v>
      </c>
      <c r="L256" s="4">
        <v>-1.0999999999999999E-2</v>
      </c>
      <c r="M256" s="4">
        <v>-1.0999999999999999E-2</v>
      </c>
      <c r="N256" s="4">
        <v>-1.0999999999999999E-2</v>
      </c>
      <c r="O256" s="4">
        <v>-1.0999999999999999E-2</v>
      </c>
      <c r="P256" s="4">
        <v>0</v>
      </c>
      <c r="Q256" s="3" t="s">
        <v>26</v>
      </c>
      <c r="R256" s="3">
        <v>0</v>
      </c>
      <c r="S256" s="3" t="s">
        <v>167</v>
      </c>
      <c r="T256" s="3" t="s">
        <v>304</v>
      </c>
      <c r="U256" s="3">
        <v>0</v>
      </c>
      <c r="V256" s="3">
        <v>6</v>
      </c>
      <c r="W256" s="3">
        <v>32</v>
      </c>
    </row>
    <row r="257" spans="1:23" ht="11.25" customHeight="1" x14ac:dyDescent="0.25">
      <c r="A257" s="3" t="s">
        <v>28</v>
      </c>
      <c r="B257" s="3" t="s">
        <v>22</v>
      </c>
      <c r="C257" s="3" t="s">
        <v>23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25</v>
      </c>
      <c r="I257" s="6">
        <v>44501</v>
      </c>
      <c r="J257" s="4">
        <v>0</v>
      </c>
      <c r="K257" s="4">
        <v>0</v>
      </c>
      <c r="L257" s="4">
        <v>1.282</v>
      </c>
      <c r="M257" s="4">
        <v>1.282</v>
      </c>
      <c r="N257" s="4">
        <v>1.282</v>
      </c>
      <c r="O257" s="4">
        <v>1.282</v>
      </c>
      <c r="P257" s="4">
        <v>16</v>
      </c>
      <c r="Q257" s="3" t="s">
        <v>26</v>
      </c>
      <c r="R257" s="3">
        <v>0</v>
      </c>
      <c r="S257" s="3" t="s">
        <v>167</v>
      </c>
      <c r="T257" s="3" t="s">
        <v>304</v>
      </c>
      <c r="U257" s="3">
        <v>0</v>
      </c>
      <c r="V257" s="3">
        <v>6</v>
      </c>
      <c r="W257" s="3">
        <v>32</v>
      </c>
    </row>
    <row r="258" spans="1:23" ht="11.25" customHeight="1" x14ac:dyDescent="0.25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25</v>
      </c>
      <c r="I258" s="6">
        <v>44531</v>
      </c>
      <c r="J258" s="4">
        <v>0</v>
      </c>
      <c r="K258" s="4">
        <v>0</v>
      </c>
      <c r="L258" s="4">
        <v>569.40099999999995</v>
      </c>
      <c r="M258" s="4">
        <v>569.40099999999995</v>
      </c>
      <c r="N258" s="4">
        <v>569.40099999999995</v>
      </c>
      <c r="O258" s="4">
        <v>569.40099999999995</v>
      </c>
      <c r="P258" s="4">
        <v>3521</v>
      </c>
      <c r="Q258" s="3" t="s">
        <v>26</v>
      </c>
      <c r="R258" s="3">
        <v>0</v>
      </c>
      <c r="S258" s="3" t="s">
        <v>168</v>
      </c>
      <c r="T258" s="3" t="s">
        <v>305</v>
      </c>
      <c r="U258" s="3">
        <v>0</v>
      </c>
      <c r="V258" s="3">
        <v>6</v>
      </c>
      <c r="W258" s="3">
        <v>32</v>
      </c>
    </row>
    <row r="259" spans="1:23" ht="11.25" customHeight="1" x14ac:dyDescent="0.25">
      <c r="A259" s="3" t="s">
        <v>28</v>
      </c>
      <c r="B259" s="3" t="s">
        <v>22</v>
      </c>
      <c r="C259" s="3" t="s">
        <v>23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25</v>
      </c>
      <c r="I259" s="6">
        <v>44531</v>
      </c>
      <c r="J259" s="4">
        <v>0</v>
      </c>
      <c r="K259" s="4">
        <v>0</v>
      </c>
      <c r="L259" s="4">
        <v>1.825</v>
      </c>
      <c r="M259" s="4">
        <v>1.825</v>
      </c>
      <c r="N259" s="4">
        <v>1.825</v>
      </c>
      <c r="O259" s="4">
        <v>1.825</v>
      </c>
      <c r="P259" s="4">
        <v>18</v>
      </c>
      <c r="Q259" s="3" t="s">
        <v>26</v>
      </c>
      <c r="R259" s="3">
        <v>0</v>
      </c>
      <c r="S259" s="3" t="s">
        <v>168</v>
      </c>
      <c r="T259" s="3" t="s">
        <v>305</v>
      </c>
      <c r="U259" s="3">
        <v>0</v>
      </c>
      <c r="V259" s="3">
        <v>6</v>
      </c>
      <c r="W259" s="3">
        <v>32</v>
      </c>
    </row>
    <row r="260" spans="1:23" ht="11.25" customHeight="1" x14ac:dyDescent="0.25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44562</v>
      </c>
      <c r="J260" s="4">
        <v>0</v>
      </c>
      <c r="K260" s="4">
        <v>0</v>
      </c>
      <c r="L260" s="4">
        <v>591</v>
      </c>
      <c r="M260" s="4">
        <v>591</v>
      </c>
      <c r="N260" s="4">
        <v>591</v>
      </c>
      <c r="O260" s="4">
        <v>591</v>
      </c>
      <c r="P260" s="4">
        <v>3521</v>
      </c>
      <c r="Q260" s="3" t="s">
        <v>26</v>
      </c>
      <c r="R260" s="3">
        <v>0</v>
      </c>
      <c r="S260" s="3" t="s">
        <v>169</v>
      </c>
      <c r="T260" s="3" t="s">
        <v>306</v>
      </c>
      <c r="U260" s="3">
        <v>0</v>
      </c>
      <c r="V260" s="3">
        <v>6</v>
      </c>
      <c r="W260" s="3">
        <v>32</v>
      </c>
    </row>
    <row r="261" spans="1:23" ht="11.25" customHeight="1" x14ac:dyDescent="0.25">
      <c r="A261" s="3" t="s">
        <v>27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44562</v>
      </c>
      <c r="J261" s="4">
        <v>0</v>
      </c>
      <c r="K261" s="4">
        <v>0</v>
      </c>
      <c r="L261" s="4">
        <v>-0.82</v>
      </c>
      <c r="M261" s="4">
        <v>-0.82</v>
      </c>
      <c r="N261" s="4">
        <v>-0.82</v>
      </c>
      <c r="O261" s="4">
        <v>-0.82</v>
      </c>
      <c r="P261" s="4">
        <v>0</v>
      </c>
      <c r="Q261" s="3" t="s">
        <v>26</v>
      </c>
      <c r="R261" s="3">
        <v>0</v>
      </c>
      <c r="S261" s="3" t="s">
        <v>169</v>
      </c>
      <c r="T261" s="3" t="s">
        <v>306</v>
      </c>
      <c r="U261" s="3">
        <v>0</v>
      </c>
      <c r="V261" s="3">
        <v>6</v>
      </c>
      <c r="W261" s="3">
        <v>32</v>
      </c>
    </row>
    <row r="262" spans="1:23" ht="11.25" customHeight="1" x14ac:dyDescent="0.25">
      <c r="A262" s="3" t="s">
        <v>28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44562</v>
      </c>
      <c r="J262" s="4">
        <v>0</v>
      </c>
      <c r="K262" s="4">
        <v>0</v>
      </c>
      <c r="L262" s="4">
        <v>2.2000000000000002</v>
      </c>
      <c r="M262" s="4">
        <v>2.2000000000000002</v>
      </c>
      <c r="N262" s="4">
        <v>2.2000000000000002</v>
      </c>
      <c r="O262" s="4">
        <v>2.2000000000000002</v>
      </c>
      <c r="P262" s="4">
        <v>19</v>
      </c>
      <c r="Q262" s="3" t="s">
        <v>26</v>
      </c>
      <c r="R262" s="3">
        <v>0</v>
      </c>
      <c r="S262" s="3" t="s">
        <v>169</v>
      </c>
      <c r="T262" s="3" t="s">
        <v>306</v>
      </c>
      <c r="U262" s="3">
        <v>0</v>
      </c>
      <c r="V262" s="3">
        <v>6</v>
      </c>
      <c r="W262" s="3">
        <v>32</v>
      </c>
    </row>
    <row r="263" spans="1:2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25</v>
      </c>
      <c r="I263" s="6">
        <v>44593</v>
      </c>
      <c r="J263" s="4">
        <v>0</v>
      </c>
      <c r="K263" s="4">
        <v>0</v>
      </c>
      <c r="L263" s="4">
        <v>587.12</v>
      </c>
      <c r="M263" s="4">
        <v>587.12</v>
      </c>
      <c r="N263" s="4">
        <v>587.12</v>
      </c>
      <c r="O263" s="4">
        <v>587.12</v>
      </c>
      <c r="P263" s="4">
        <v>3500</v>
      </c>
      <c r="Q263" s="3" t="s">
        <v>26</v>
      </c>
      <c r="R263" s="3">
        <v>0</v>
      </c>
      <c r="S263" s="3" t="s">
        <v>170</v>
      </c>
      <c r="T263" s="3" t="s">
        <v>307</v>
      </c>
      <c r="U263" s="3">
        <v>0</v>
      </c>
      <c r="V263" s="3">
        <v>6</v>
      </c>
      <c r="W263" s="3">
        <v>32</v>
      </c>
    </row>
    <row r="264" spans="1:23" ht="11.25" customHeight="1" x14ac:dyDescent="0.25">
      <c r="A264" s="3" t="s">
        <v>27</v>
      </c>
      <c r="B264" s="3" t="s">
        <v>22</v>
      </c>
      <c r="C264" s="3" t="s">
        <v>23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25</v>
      </c>
      <c r="I264" s="6">
        <v>44593</v>
      </c>
      <c r="J264" s="4">
        <v>0</v>
      </c>
      <c r="K264" s="4">
        <v>0</v>
      </c>
      <c r="L264" s="4">
        <v>-9.5000000000000001E-2</v>
      </c>
      <c r="M264" s="4">
        <v>-9.5000000000000001E-2</v>
      </c>
      <c r="N264" s="4">
        <v>-9.5000000000000001E-2</v>
      </c>
      <c r="O264" s="4">
        <v>-9.5000000000000001E-2</v>
      </c>
      <c r="P264" s="4">
        <v>0</v>
      </c>
      <c r="Q264" s="3" t="s">
        <v>26</v>
      </c>
      <c r="R264" s="3">
        <v>0</v>
      </c>
      <c r="S264" s="3" t="s">
        <v>170</v>
      </c>
      <c r="T264" s="3" t="s">
        <v>307</v>
      </c>
      <c r="U264" s="3">
        <v>0</v>
      </c>
      <c r="V264" s="3">
        <v>6</v>
      </c>
      <c r="W264" s="3">
        <v>32</v>
      </c>
    </row>
    <row r="265" spans="1:23" ht="11.25" customHeight="1" x14ac:dyDescent="0.25">
      <c r="A265" s="3" t="s">
        <v>28</v>
      </c>
      <c r="B265" s="3" t="s">
        <v>22</v>
      </c>
      <c r="C265" s="3" t="s">
        <v>23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25</v>
      </c>
      <c r="I265" s="6">
        <v>44593</v>
      </c>
      <c r="J265" s="4">
        <v>0</v>
      </c>
      <c r="K265" s="4">
        <v>0</v>
      </c>
      <c r="L265" s="4">
        <v>2.855</v>
      </c>
      <c r="M265" s="4">
        <v>2.855</v>
      </c>
      <c r="N265" s="4">
        <v>2.855</v>
      </c>
      <c r="O265" s="4">
        <v>2.855</v>
      </c>
      <c r="P265" s="4">
        <v>22</v>
      </c>
      <c r="Q265" s="3" t="s">
        <v>26</v>
      </c>
      <c r="R265" s="3">
        <v>0</v>
      </c>
      <c r="S265" s="3" t="s">
        <v>170</v>
      </c>
      <c r="T265" s="3" t="s">
        <v>307</v>
      </c>
      <c r="U265" s="3">
        <v>0</v>
      </c>
      <c r="V265" s="3">
        <v>6</v>
      </c>
      <c r="W265" s="3">
        <v>32</v>
      </c>
    </row>
    <row r="266" spans="1:2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25</v>
      </c>
      <c r="I266" s="6">
        <v>44621</v>
      </c>
      <c r="J266" s="4">
        <v>0</v>
      </c>
      <c r="K266" s="4">
        <v>0</v>
      </c>
      <c r="L266" s="4">
        <v>587.88</v>
      </c>
      <c r="M266" s="4">
        <v>587.88</v>
      </c>
      <c r="N266" s="4">
        <v>587.88</v>
      </c>
      <c r="O266" s="4">
        <v>587.88</v>
      </c>
      <c r="P266" s="4">
        <v>3465</v>
      </c>
      <c r="Q266" s="3" t="s">
        <v>26</v>
      </c>
      <c r="R266" s="3">
        <v>0</v>
      </c>
      <c r="S266" s="3" t="s">
        <v>171</v>
      </c>
      <c r="T266" s="3" t="s">
        <v>308</v>
      </c>
      <c r="U266" s="3">
        <v>0</v>
      </c>
      <c r="V266" s="3">
        <v>6</v>
      </c>
      <c r="W266" s="3">
        <v>32</v>
      </c>
    </row>
    <row r="267" spans="1:23" ht="11.25" customHeight="1" x14ac:dyDescent="0.25">
      <c r="A267" s="3" t="s">
        <v>28</v>
      </c>
      <c r="B267" s="3" t="s">
        <v>22</v>
      </c>
      <c r="C267" s="3" t="s">
        <v>23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25</v>
      </c>
      <c r="I267" s="6">
        <v>44621</v>
      </c>
      <c r="J267" s="4">
        <v>0</v>
      </c>
      <c r="K267" s="4">
        <v>0</v>
      </c>
      <c r="L267" s="4">
        <v>3.3079999999999998</v>
      </c>
      <c r="M267" s="4">
        <v>3.3079999999999998</v>
      </c>
      <c r="N267" s="4">
        <v>3.3079999999999998</v>
      </c>
      <c r="O267" s="4">
        <v>3.3079999999999998</v>
      </c>
      <c r="P267" s="4">
        <v>25</v>
      </c>
      <c r="Q267" s="3" t="s">
        <v>26</v>
      </c>
      <c r="R267" s="3">
        <v>0</v>
      </c>
      <c r="S267" s="3" t="s">
        <v>171</v>
      </c>
      <c r="T267" s="3" t="s">
        <v>308</v>
      </c>
      <c r="U267" s="3">
        <v>0</v>
      </c>
      <c r="V267" s="3">
        <v>6</v>
      </c>
      <c r="W267" s="3">
        <v>32</v>
      </c>
    </row>
    <row r="268" spans="1:2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25</v>
      </c>
      <c r="I268" s="6">
        <v>44652</v>
      </c>
      <c r="J268" s="4">
        <v>0</v>
      </c>
      <c r="K268" s="4">
        <v>0</v>
      </c>
      <c r="L268" s="4">
        <v>572.44100000000003</v>
      </c>
      <c r="M268" s="4">
        <v>572.44100000000003</v>
      </c>
      <c r="N268" s="4">
        <v>572.44100000000003</v>
      </c>
      <c r="O268" s="4">
        <v>572.44100000000003</v>
      </c>
      <c r="P268" s="4">
        <v>3465</v>
      </c>
      <c r="Q268" s="3" t="s">
        <v>26</v>
      </c>
      <c r="R268" s="3">
        <v>0</v>
      </c>
      <c r="S268" s="3" t="s">
        <v>172</v>
      </c>
      <c r="T268" s="3" t="s">
        <v>309</v>
      </c>
      <c r="U268" s="3">
        <v>0</v>
      </c>
      <c r="V268" s="3">
        <v>6</v>
      </c>
      <c r="W268" s="3">
        <v>32</v>
      </c>
    </row>
    <row r="269" spans="1:23" ht="11.25" customHeight="1" x14ac:dyDescent="0.25">
      <c r="A269" s="3" t="s">
        <v>27</v>
      </c>
      <c r="B269" s="3" t="s">
        <v>22</v>
      </c>
      <c r="C269" s="3" t="s">
        <v>23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25</v>
      </c>
      <c r="I269" s="6">
        <v>44652</v>
      </c>
      <c r="J269" s="4">
        <v>0</v>
      </c>
      <c r="K269" s="4">
        <v>0</v>
      </c>
      <c r="L269" s="4">
        <v>-0.88200000000000001</v>
      </c>
      <c r="M269" s="4">
        <v>-0.88200000000000001</v>
      </c>
      <c r="N269" s="4">
        <v>-0.88200000000000001</v>
      </c>
      <c r="O269" s="4">
        <v>-0.88200000000000001</v>
      </c>
      <c r="P269" s="4">
        <v>0</v>
      </c>
      <c r="Q269" s="3" t="s">
        <v>26</v>
      </c>
      <c r="R269" s="3">
        <v>0</v>
      </c>
      <c r="S269" s="3" t="s">
        <v>172</v>
      </c>
      <c r="T269" s="3" t="s">
        <v>309</v>
      </c>
      <c r="U269" s="3">
        <v>0</v>
      </c>
      <c r="V269" s="3">
        <v>6</v>
      </c>
      <c r="W269" s="3">
        <v>32</v>
      </c>
    </row>
    <row r="270" spans="1:23" ht="11.25" customHeight="1" x14ac:dyDescent="0.25">
      <c r="A270" s="3" t="s">
        <v>28</v>
      </c>
      <c r="B270" s="3" t="s">
        <v>22</v>
      </c>
      <c r="C270" s="3" t="s">
        <v>23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25</v>
      </c>
      <c r="I270" s="6">
        <v>44652</v>
      </c>
      <c r="J270" s="4">
        <v>0</v>
      </c>
      <c r="K270" s="4">
        <v>0</v>
      </c>
      <c r="L270" s="4">
        <v>2.968</v>
      </c>
      <c r="M270" s="4">
        <v>2.968</v>
      </c>
      <c r="N270" s="4">
        <v>2.968</v>
      </c>
      <c r="O270" s="4">
        <v>2.968</v>
      </c>
      <c r="P270" s="4">
        <v>26</v>
      </c>
      <c r="Q270" s="3" t="s">
        <v>26</v>
      </c>
      <c r="R270" s="3">
        <v>0</v>
      </c>
      <c r="S270" s="3" t="s">
        <v>172</v>
      </c>
      <c r="T270" s="3" t="s">
        <v>309</v>
      </c>
      <c r="U270" s="3">
        <v>0</v>
      </c>
      <c r="V270" s="3">
        <v>6</v>
      </c>
      <c r="W270" s="3">
        <v>32</v>
      </c>
    </row>
    <row r="271" spans="1:2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24</v>
      </c>
      <c r="F271" s="3" t="s">
        <v>25</v>
      </c>
      <c r="G271" s="3" t="s">
        <v>25</v>
      </c>
      <c r="H271" s="3" t="s">
        <v>25</v>
      </c>
      <c r="I271" s="6">
        <v>44682</v>
      </c>
      <c r="J271" s="4">
        <v>0</v>
      </c>
      <c r="K271" s="4">
        <v>0</v>
      </c>
      <c r="L271" s="4">
        <v>550.36400000000003</v>
      </c>
      <c r="M271" s="4">
        <v>550.36400000000003</v>
      </c>
      <c r="N271" s="4">
        <v>550.36400000000003</v>
      </c>
      <c r="O271" s="4">
        <v>550.36400000000003</v>
      </c>
      <c r="P271" s="4">
        <v>3461</v>
      </c>
      <c r="Q271" s="3" t="s">
        <v>26</v>
      </c>
      <c r="R271" s="3">
        <v>0</v>
      </c>
      <c r="S271" s="3" t="s">
        <v>173</v>
      </c>
      <c r="T271" s="3" t="s">
        <v>310</v>
      </c>
      <c r="U271" s="3">
        <v>0</v>
      </c>
      <c r="V271" s="3">
        <v>6</v>
      </c>
      <c r="W271" s="3">
        <v>32</v>
      </c>
    </row>
    <row r="272" spans="1:23" ht="11.25" customHeight="1" x14ac:dyDescent="0.25">
      <c r="A272" s="3" t="s">
        <v>27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44682</v>
      </c>
      <c r="J272" s="4">
        <v>0</v>
      </c>
      <c r="K272" s="4">
        <v>0</v>
      </c>
      <c r="L272" s="4">
        <v>-0.254</v>
      </c>
      <c r="M272" s="4">
        <v>-0.254</v>
      </c>
      <c r="N272" s="4">
        <v>-0.254</v>
      </c>
      <c r="O272" s="4">
        <v>-0.254</v>
      </c>
      <c r="P272" s="4">
        <v>0</v>
      </c>
      <c r="Q272" s="3" t="s">
        <v>26</v>
      </c>
      <c r="R272" s="3">
        <v>0</v>
      </c>
      <c r="S272" s="3" t="s">
        <v>173</v>
      </c>
      <c r="T272" s="3" t="s">
        <v>310</v>
      </c>
      <c r="U272" s="3">
        <v>0</v>
      </c>
      <c r="V272" s="3">
        <v>6</v>
      </c>
      <c r="W272" s="3">
        <v>32</v>
      </c>
    </row>
    <row r="273" spans="1:23" ht="11.25" customHeight="1" x14ac:dyDescent="0.25">
      <c r="A273" s="3" t="s">
        <v>28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44682</v>
      </c>
      <c r="J273" s="4">
        <v>0</v>
      </c>
      <c r="K273" s="4">
        <v>0</v>
      </c>
      <c r="L273" s="4">
        <v>2.6480000000000001</v>
      </c>
      <c r="M273" s="4">
        <v>2.6480000000000001</v>
      </c>
      <c r="N273" s="4">
        <v>2.6480000000000001</v>
      </c>
      <c r="O273" s="4">
        <v>2.6480000000000001</v>
      </c>
      <c r="P273" s="4">
        <v>28</v>
      </c>
      <c r="Q273" s="3" t="s">
        <v>26</v>
      </c>
      <c r="R273" s="3">
        <v>0</v>
      </c>
      <c r="S273" s="3" t="s">
        <v>173</v>
      </c>
      <c r="T273" s="3" t="s">
        <v>310</v>
      </c>
      <c r="U273" s="3">
        <v>0</v>
      </c>
      <c r="V273" s="3">
        <v>6</v>
      </c>
      <c r="W273" s="3">
        <v>32</v>
      </c>
    </row>
    <row r="274" spans="1:2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44713</v>
      </c>
      <c r="J274" s="4">
        <v>0</v>
      </c>
      <c r="K274" s="4">
        <v>0</v>
      </c>
      <c r="L274" s="4">
        <v>521.66600000000005</v>
      </c>
      <c r="M274" s="4">
        <v>521.66600000000005</v>
      </c>
      <c r="N274" s="4">
        <v>521.66600000000005</v>
      </c>
      <c r="O274" s="4">
        <v>521.66600000000005</v>
      </c>
      <c r="P274" s="4">
        <v>3478</v>
      </c>
      <c r="Q274" s="3" t="s">
        <v>26</v>
      </c>
      <c r="R274" s="3">
        <v>0</v>
      </c>
      <c r="S274" s="3" t="s">
        <v>174</v>
      </c>
      <c r="T274" s="3" t="s">
        <v>311</v>
      </c>
      <c r="U274" s="3">
        <v>0</v>
      </c>
      <c r="V274" s="3">
        <v>6</v>
      </c>
      <c r="W274" s="3">
        <v>32</v>
      </c>
    </row>
    <row r="275" spans="1:23" ht="11.25" customHeight="1" x14ac:dyDescent="0.25">
      <c r="A275" s="3" t="s">
        <v>28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44713</v>
      </c>
      <c r="J275" s="4">
        <v>0</v>
      </c>
      <c r="K275" s="4">
        <v>0</v>
      </c>
      <c r="L275" s="4">
        <v>3.5760000000000001</v>
      </c>
      <c r="M275" s="4">
        <v>3.5760000000000001</v>
      </c>
      <c r="N275" s="4">
        <v>3.5760000000000001</v>
      </c>
      <c r="O275" s="4">
        <v>3.5760000000000001</v>
      </c>
      <c r="P275" s="4">
        <v>32</v>
      </c>
      <c r="Q275" s="3" t="s">
        <v>26</v>
      </c>
      <c r="R275" s="3">
        <v>0</v>
      </c>
      <c r="S275" s="3" t="s">
        <v>174</v>
      </c>
      <c r="T275" s="3" t="s">
        <v>311</v>
      </c>
      <c r="U275" s="3">
        <v>0</v>
      </c>
      <c r="V275" s="3">
        <v>6</v>
      </c>
      <c r="W275" s="3">
        <v>32</v>
      </c>
    </row>
    <row r="276" spans="1:23" ht="11.25" customHeight="1" x14ac:dyDescent="0.25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44743</v>
      </c>
      <c r="J276" s="4">
        <v>0</v>
      </c>
      <c r="K276" s="4">
        <v>0</v>
      </c>
      <c r="L276" s="4">
        <v>561.25199999999995</v>
      </c>
      <c r="M276" s="4">
        <v>561.25199999999995</v>
      </c>
      <c r="N276" s="4">
        <v>561.25199999999995</v>
      </c>
      <c r="O276" s="4">
        <v>561.25199999999995</v>
      </c>
      <c r="P276" s="4">
        <v>3542</v>
      </c>
      <c r="Q276" s="3" t="s">
        <v>26</v>
      </c>
      <c r="R276" s="3">
        <v>0</v>
      </c>
      <c r="S276" s="3" t="s">
        <v>175</v>
      </c>
      <c r="T276" s="3" t="s">
        <v>312</v>
      </c>
      <c r="U276" s="3">
        <v>0</v>
      </c>
      <c r="V276" s="3">
        <v>6</v>
      </c>
      <c r="W276" s="3">
        <v>32</v>
      </c>
    </row>
    <row r="277" spans="1:23" ht="11.25" customHeight="1" x14ac:dyDescent="0.25">
      <c r="A277" s="3" t="s">
        <v>28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44743</v>
      </c>
      <c r="J277" s="4">
        <v>0</v>
      </c>
      <c r="K277" s="4">
        <v>0</v>
      </c>
      <c r="L277" s="4">
        <v>4.1139999999999999</v>
      </c>
      <c r="M277" s="4">
        <v>4.1139999999999999</v>
      </c>
      <c r="N277" s="4">
        <v>4.1139999999999999</v>
      </c>
      <c r="O277" s="4">
        <v>4.1139999999999999</v>
      </c>
      <c r="P277" s="4">
        <v>37</v>
      </c>
      <c r="Q277" s="3" t="s">
        <v>26</v>
      </c>
      <c r="R277" s="3">
        <v>0</v>
      </c>
      <c r="S277" s="3" t="s">
        <v>175</v>
      </c>
      <c r="T277" s="3" t="s">
        <v>312</v>
      </c>
      <c r="U277" s="3">
        <v>0</v>
      </c>
      <c r="V277" s="3">
        <v>6</v>
      </c>
      <c r="W277" s="3">
        <v>32</v>
      </c>
    </row>
    <row r="278" spans="1:2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44774</v>
      </c>
      <c r="J278" s="4">
        <v>0</v>
      </c>
      <c r="K278" s="4">
        <v>0</v>
      </c>
      <c r="L278" s="4">
        <v>585.34900000000005</v>
      </c>
      <c r="M278" s="4">
        <v>585.34900000000005</v>
      </c>
      <c r="N278" s="4">
        <v>585.34900000000005</v>
      </c>
      <c r="O278" s="4">
        <v>585.34900000000005</v>
      </c>
      <c r="P278" s="4">
        <v>3555</v>
      </c>
      <c r="Q278" s="3" t="s">
        <v>26</v>
      </c>
      <c r="R278" s="3">
        <v>0</v>
      </c>
      <c r="S278" s="3" t="s">
        <v>176</v>
      </c>
      <c r="T278" s="3" t="s">
        <v>313</v>
      </c>
      <c r="U278" s="3">
        <v>0</v>
      </c>
      <c r="V278" s="3">
        <v>6</v>
      </c>
      <c r="W278" s="3">
        <v>32</v>
      </c>
    </row>
    <row r="279" spans="1:23" ht="11.25" customHeight="1" x14ac:dyDescent="0.25">
      <c r="A279" s="3" t="s">
        <v>27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44774</v>
      </c>
      <c r="J279" s="4">
        <v>0</v>
      </c>
      <c r="K279" s="4">
        <v>0</v>
      </c>
      <c r="L279" s="4">
        <v>-0.248</v>
      </c>
      <c r="M279" s="4">
        <v>-0.248</v>
      </c>
      <c r="N279" s="4">
        <v>-0.248</v>
      </c>
      <c r="O279" s="4">
        <v>-0.248</v>
      </c>
      <c r="P279" s="4">
        <v>0</v>
      </c>
      <c r="Q279" s="3" t="s">
        <v>26</v>
      </c>
      <c r="R279" s="3">
        <v>0</v>
      </c>
      <c r="S279" s="3" t="s">
        <v>176</v>
      </c>
      <c r="T279" s="3" t="s">
        <v>313</v>
      </c>
      <c r="U279" s="3">
        <v>0</v>
      </c>
      <c r="V279" s="3">
        <v>6</v>
      </c>
      <c r="W279" s="3">
        <v>32</v>
      </c>
    </row>
    <row r="280" spans="1:23" ht="11.25" customHeight="1" x14ac:dyDescent="0.25">
      <c r="A280" s="3" t="s">
        <v>28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44774</v>
      </c>
      <c r="J280" s="4">
        <v>0</v>
      </c>
      <c r="K280" s="4">
        <v>0</v>
      </c>
      <c r="L280" s="4">
        <v>3.4729999999999999</v>
      </c>
      <c r="M280" s="4">
        <v>3.4729999999999999</v>
      </c>
      <c r="N280" s="4">
        <v>3.4729999999999999</v>
      </c>
      <c r="O280" s="4">
        <v>3.4729999999999999</v>
      </c>
      <c r="P280" s="4">
        <v>38</v>
      </c>
      <c r="Q280" s="3" t="s">
        <v>26</v>
      </c>
      <c r="R280" s="3">
        <v>0</v>
      </c>
      <c r="S280" s="3" t="s">
        <v>176</v>
      </c>
      <c r="T280" s="3" t="s">
        <v>313</v>
      </c>
      <c r="U280" s="3">
        <v>0</v>
      </c>
      <c r="V280" s="3">
        <v>6</v>
      </c>
      <c r="W280" s="3">
        <v>32</v>
      </c>
    </row>
    <row r="281" spans="1:2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29</v>
      </c>
      <c r="F281" s="3" t="s">
        <v>25</v>
      </c>
      <c r="G281" s="3" t="s">
        <v>25</v>
      </c>
      <c r="H281" s="3" t="s">
        <v>25</v>
      </c>
      <c r="I281" s="6">
        <v>44440</v>
      </c>
      <c r="J281" s="4">
        <v>0</v>
      </c>
      <c r="K281" s="4">
        <v>0</v>
      </c>
      <c r="L281" s="4">
        <v>4.38</v>
      </c>
      <c r="M281" s="4">
        <v>4.38</v>
      </c>
      <c r="N281" s="4">
        <v>4.38</v>
      </c>
      <c r="O281" s="4">
        <v>4.38</v>
      </c>
      <c r="P281" s="4">
        <v>2</v>
      </c>
      <c r="Q281" s="3" t="s">
        <v>26</v>
      </c>
      <c r="R281" s="3">
        <v>0</v>
      </c>
      <c r="S281" s="3" t="s">
        <v>177</v>
      </c>
      <c r="T281" s="3" t="s">
        <v>314</v>
      </c>
      <c r="U281" s="3">
        <v>0</v>
      </c>
      <c r="V281" s="3">
        <v>5</v>
      </c>
      <c r="W281" s="3">
        <v>31</v>
      </c>
    </row>
    <row r="282" spans="1:2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29</v>
      </c>
      <c r="F282" s="3" t="s">
        <v>25</v>
      </c>
      <c r="G282" s="3" t="s">
        <v>25</v>
      </c>
      <c r="H282" s="3" t="s">
        <v>25</v>
      </c>
      <c r="I282" s="6">
        <v>44470</v>
      </c>
      <c r="J282" s="4">
        <v>0</v>
      </c>
      <c r="K282" s="4">
        <v>0</v>
      </c>
      <c r="L282" s="4">
        <v>4.47</v>
      </c>
      <c r="M282" s="4">
        <v>4.47</v>
      </c>
      <c r="N282" s="4">
        <v>4.47</v>
      </c>
      <c r="O282" s="4">
        <v>4.47</v>
      </c>
      <c r="P282" s="4">
        <v>2</v>
      </c>
      <c r="Q282" s="3" t="s">
        <v>26</v>
      </c>
      <c r="R282" s="3">
        <v>0</v>
      </c>
      <c r="S282" s="3" t="s">
        <v>178</v>
      </c>
      <c r="T282" s="3" t="s">
        <v>315</v>
      </c>
      <c r="U282" s="3">
        <v>0</v>
      </c>
      <c r="V282" s="3">
        <v>5</v>
      </c>
      <c r="W282" s="3">
        <v>31</v>
      </c>
    </row>
    <row r="283" spans="1:2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29</v>
      </c>
      <c r="F283" s="3" t="s">
        <v>25</v>
      </c>
      <c r="G283" s="3" t="s">
        <v>25</v>
      </c>
      <c r="H283" s="3" t="s">
        <v>25</v>
      </c>
      <c r="I283" s="6">
        <v>44501</v>
      </c>
      <c r="J283" s="4">
        <v>0</v>
      </c>
      <c r="K283" s="4">
        <v>0</v>
      </c>
      <c r="L283" s="4">
        <v>4.5599999999999996</v>
      </c>
      <c r="M283" s="4">
        <v>4.5599999999999996</v>
      </c>
      <c r="N283" s="4">
        <v>4.5599999999999996</v>
      </c>
      <c r="O283" s="4">
        <v>4.5599999999999996</v>
      </c>
      <c r="P283" s="4">
        <v>1</v>
      </c>
      <c r="Q283" s="3" t="s">
        <v>26</v>
      </c>
      <c r="R283" s="3">
        <v>0</v>
      </c>
      <c r="S283" s="3" t="s">
        <v>179</v>
      </c>
      <c r="T283" s="3" t="s">
        <v>316</v>
      </c>
      <c r="U283" s="3">
        <v>0</v>
      </c>
      <c r="V283" s="3">
        <v>5</v>
      </c>
      <c r="W283" s="3">
        <v>31</v>
      </c>
    </row>
    <row r="284" spans="1:2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29</v>
      </c>
      <c r="F284" s="3" t="s">
        <v>25</v>
      </c>
      <c r="G284" s="3" t="s">
        <v>25</v>
      </c>
      <c r="H284" s="3" t="s">
        <v>25</v>
      </c>
      <c r="I284" s="6">
        <v>44531</v>
      </c>
      <c r="J284" s="4">
        <v>0</v>
      </c>
      <c r="K284" s="4">
        <v>0</v>
      </c>
      <c r="L284" s="4">
        <v>5.01</v>
      </c>
      <c r="M284" s="4">
        <v>5.01</v>
      </c>
      <c r="N284" s="4">
        <v>5.01</v>
      </c>
      <c r="O284" s="4">
        <v>5.01</v>
      </c>
      <c r="P284" s="4">
        <v>2</v>
      </c>
      <c r="Q284" s="3" t="s">
        <v>26</v>
      </c>
      <c r="R284" s="3">
        <v>0</v>
      </c>
      <c r="S284" s="3" t="s">
        <v>180</v>
      </c>
      <c r="T284" s="3" t="s">
        <v>317</v>
      </c>
      <c r="U284" s="3">
        <v>0</v>
      </c>
      <c r="V284" s="3">
        <v>5</v>
      </c>
      <c r="W284" s="3">
        <v>31</v>
      </c>
    </row>
    <row r="285" spans="1:23" ht="11.25" customHeight="1" x14ac:dyDescent="0.25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29</v>
      </c>
      <c r="F285" s="3" t="s">
        <v>25</v>
      </c>
      <c r="G285" s="3" t="s">
        <v>25</v>
      </c>
      <c r="H285" s="3" t="s">
        <v>25</v>
      </c>
      <c r="I285" s="6">
        <v>44562</v>
      </c>
      <c r="J285" s="4">
        <v>0</v>
      </c>
      <c r="K285" s="4">
        <v>0</v>
      </c>
      <c r="L285" s="4">
        <v>4.92</v>
      </c>
      <c r="M285" s="4">
        <v>4.92</v>
      </c>
      <c r="N285" s="4">
        <v>4.92</v>
      </c>
      <c r="O285" s="4">
        <v>4.92</v>
      </c>
      <c r="P285" s="4">
        <v>0</v>
      </c>
      <c r="Q285" s="3" t="s">
        <v>26</v>
      </c>
      <c r="R285" s="3">
        <v>0</v>
      </c>
      <c r="S285" s="3" t="s">
        <v>181</v>
      </c>
      <c r="T285" s="3" t="s">
        <v>318</v>
      </c>
      <c r="U285" s="3">
        <v>0</v>
      </c>
      <c r="V285" s="3">
        <v>5</v>
      </c>
      <c r="W285" s="3">
        <v>31</v>
      </c>
    </row>
    <row r="286" spans="1:23" ht="11.25" customHeight="1" x14ac:dyDescent="0.25">
      <c r="A286" s="3" t="s">
        <v>27</v>
      </c>
      <c r="B286" s="3" t="s">
        <v>22</v>
      </c>
      <c r="C286" s="3" t="s">
        <v>23</v>
      </c>
      <c r="D286" s="3" t="s">
        <v>24</v>
      </c>
      <c r="E286" s="3" t="s">
        <v>29</v>
      </c>
      <c r="F286" s="3" t="s">
        <v>25</v>
      </c>
      <c r="G286" s="3" t="s">
        <v>25</v>
      </c>
      <c r="H286" s="3" t="s">
        <v>25</v>
      </c>
      <c r="I286" s="6">
        <v>44562</v>
      </c>
      <c r="J286" s="4">
        <v>0</v>
      </c>
      <c r="K286" s="4">
        <v>0</v>
      </c>
      <c r="L286" s="4">
        <v>-0.03</v>
      </c>
      <c r="M286" s="4">
        <v>-0.03</v>
      </c>
      <c r="N286" s="4">
        <v>-0.03</v>
      </c>
      <c r="O286" s="4">
        <v>-0.03</v>
      </c>
      <c r="P286" s="4">
        <v>0</v>
      </c>
      <c r="Q286" s="3" t="s">
        <v>26</v>
      </c>
      <c r="R286" s="3">
        <v>0</v>
      </c>
      <c r="S286" s="3" t="s">
        <v>181</v>
      </c>
      <c r="T286" s="3" t="s">
        <v>318</v>
      </c>
      <c r="U286" s="3">
        <v>0</v>
      </c>
      <c r="V286" s="3">
        <v>5</v>
      </c>
      <c r="W286" s="3">
        <v>31</v>
      </c>
    </row>
    <row r="287" spans="1:2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29</v>
      </c>
      <c r="F287" s="3" t="s">
        <v>25</v>
      </c>
      <c r="G287" s="3" t="s">
        <v>25</v>
      </c>
      <c r="H287" s="3" t="s">
        <v>25</v>
      </c>
      <c r="I287" s="6">
        <v>44593</v>
      </c>
      <c r="J287" s="4">
        <v>0</v>
      </c>
      <c r="K287" s="4">
        <v>0</v>
      </c>
      <c r="L287" s="4">
        <v>5.58</v>
      </c>
      <c r="M287" s="4">
        <v>5.58</v>
      </c>
      <c r="N287" s="4">
        <v>5.58</v>
      </c>
      <c r="O287" s="4">
        <v>5.58</v>
      </c>
      <c r="P287" s="4">
        <v>0</v>
      </c>
      <c r="Q287" s="3" t="s">
        <v>26</v>
      </c>
      <c r="R287" s="3">
        <v>0</v>
      </c>
      <c r="S287" s="3" t="s">
        <v>182</v>
      </c>
      <c r="T287" s="3" t="s">
        <v>319</v>
      </c>
      <c r="U287" s="3">
        <v>0</v>
      </c>
      <c r="V287" s="3">
        <v>5</v>
      </c>
      <c r="W287" s="3">
        <v>31</v>
      </c>
    </row>
    <row r="288" spans="1:23" ht="11.25" customHeight="1" x14ac:dyDescent="0.25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29</v>
      </c>
      <c r="F288" s="3" t="s">
        <v>25</v>
      </c>
      <c r="G288" s="3" t="s">
        <v>25</v>
      </c>
      <c r="H288" s="3" t="s">
        <v>25</v>
      </c>
      <c r="I288" s="6">
        <v>44621</v>
      </c>
      <c r="J288" s="4">
        <v>0</v>
      </c>
      <c r="K288" s="4">
        <v>0</v>
      </c>
      <c r="L288" s="4">
        <v>6.78</v>
      </c>
      <c r="M288" s="4">
        <v>6.78</v>
      </c>
      <c r="N288" s="4">
        <v>6.78</v>
      </c>
      <c r="O288" s="4">
        <v>6.78</v>
      </c>
      <c r="P288" s="4">
        <v>3</v>
      </c>
      <c r="Q288" s="3" t="s">
        <v>26</v>
      </c>
      <c r="R288" s="3">
        <v>0</v>
      </c>
      <c r="S288" s="3" t="s">
        <v>183</v>
      </c>
      <c r="T288" s="3" t="s">
        <v>320</v>
      </c>
      <c r="U288" s="3">
        <v>0</v>
      </c>
      <c r="V288" s="3">
        <v>5</v>
      </c>
      <c r="W288" s="3">
        <v>31</v>
      </c>
    </row>
    <row r="289" spans="1:2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29</v>
      </c>
      <c r="F289" s="3" t="s">
        <v>25</v>
      </c>
      <c r="G289" s="3" t="s">
        <v>25</v>
      </c>
      <c r="H289" s="3" t="s">
        <v>25</v>
      </c>
      <c r="I289" s="6">
        <v>44652</v>
      </c>
      <c r="J289" s="4">
        <v>0</v>
      </c>
      <c r="K289" s="4">
        <v>0</v>
      </c>
      <c r="L289" s="4">
        <v>6.99</v>
      </c>
      <c r="M289" s="4">
        <v>6.99</v>
      </c>
      <c r="N289" s="4">
        <v>6.99</v>
      </c>
      <c r="O289" s="4">
        <v>6.99</v>
      </c>
      <c r="P289" s="4">
        <v>3</v>
      </c>
      <c r="Q289" s="3" t="s">
        <v>26</v>
      </c>
      <c r="R289" s="3">
        <v>0</v>
      </c>
      <c r="S289" s="3" t="s">
        <v>184</v>
      </c>
      <c r="T289" s="3" t="s">
        <v>321</v>
      </c>
      <c r="U289" s="3">
        <v>0</v>
      </c>
      <c r="V289" s="3">
        <v>5</v>
      </c>
      <c r="W289" s="3">
        <v>31</v>
      </c>
    </row>
    <row r="290" spans="1:2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29</v>
      </c>
      <c r="F290" s="3" t="s">
        <v>25</v>
      </c>
      <c r="G290" s="3" t="s">
        <v>25</v>
      </c>
      <c r="H290" s="3" t="s">
        <v>25</v>
      </c>
      <c r="I290" s="6">
        <v>44682</v>
      </c>
      <c r="J290" s="4">
        <v>0</v>
      </c>
      <c r="K290" s="4">
        <v>0</v>
      </c>
      <c r="L290" s="4">
        <v>7.17</v>
      </c>
      <c r="M290" s="4">
        <v>7.17</v>
      </c>
      <c r="N290" s="4">
        <v>7.17</v>
      </c>
      <c r="O290" s="4">
        <v>7.17</v>
      </c>
      <c r="P290" s="4">
        <v>6</v>
      </c>
      <c r="Q290" s="3" t="s">
        <v>26</v>
      </c>
      <c r="R290" s="3">
        <v>0</v>
      </c>
      <c r="S290" s="3" t="s">
        <v>185</v>
      </c>
      <c r="T290" s="3" t="s">
        <v>322</v>
      </c>
      <c r="U290" s="3">
        <v>0</v>
      </c>
      <c r="V290" s="3">
        <v>5</v>
      </c>
      <c r="W290" s="3">
        <v>31</v>
      </c>
    </row>
    <row r="291" spans="1:2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29</v>
      </c>
      <c r="F291" s="3" t="s">
        <v>25</v>
      </c>
      <c r="G291" s="3" t="s">
        <v>25</v>
      </c>
      <c r="H291" s="3" t="s">
        <v>25</v>
      </c>
      <c r="I291" s="6">
        <v>44713</v>
      </c>
      <c r="J291" s="4">
        <v>0</v>
      </c>
      <c r="K291" s="4">
        <v>0</v>
      </c>
      <c r="L291" s="4">
        <v>6.6</v>
      </c>
      <c r="M291" s="4">
        <v>6.6</v>
      </c>
      <c r="N291" s="4">
        <v>6.6</v>
      </c>
      <c r="O291" s="4">
        <v>6.6</v>
      </c>
      <c r="P291" s="4">
        <v>2</v>
      </c>
      <c r="Q291" s="3" t="s">
        <v>26</v>
      </c>
      <c r="R291" s="3">
        <v>0</v>
      </c>
      <c r="S291" s="3" t="s">
        <v>186</v>
      </c>
      <c r="T291" s="3" t="s">
        <v>323</v>
      </c>
      <c r="U291" s="3">
        <v>0</v>
      </c>
      <c r="V291" s="3">
        <v>5</v>
      </c>
      <c r="W291" s="3">
        <v>31</v>
      </c>
    </row>
    <row r="292" spans="1:23" ht="11.25" customHeight="1" x14ac:dyDescent="0.25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29</v>
      </c>
      <c r="F292" s="3" t="s">
        <v>25</v>
      </c>
      <c r="G292" s="3" t="s">
        <v>25</v>
      </c>
      <c r="H292" s="3" t="s">
        <v>25</v>
      </c>
      <c r="I292" s="6">
        <v>44743</v>
      </c>
      <c r="J292" s="4">
        <v>0</v>
      </c>
      <c r="K292" s="4">
        <v>0</v>
      </c>
      <c r="L292" s="4">
        <v>6.66</v>
      </c>
      <c r="M292" s="4">
        <v>6.66</v>
      </c>
      <c r="N292" s="4">
        <v>6.66</v>
      </c>
      <c r="O292" s="4">
        <v>6.66</v>
      </c>
      <c r="P292" s="4">
        <v>7</v>
      </c>
      <c r="Q292" s="3" t="s">
        <v>26</v>
      </c>
      <c r="R292" s="3">
        <v>0</v>
      </c>
      <c r="S292" s="3" t="s">
        <v>187</v>
      </c>
      <c r="T292" s="3" t="s">
        <v>324</v>
      </c>
      <c r="U292" s="3">
        <v>0</v>
      </c>
      <c r="V292" s="3">
        <v>5</v>
      </c>
      <c r="W292" s="3">
        <v>31</v>
      </c>
    </row>
    <row r="293" spans="1:2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29</v>
      </c>
      <c r="F293" s="3" t="s">
        <v>25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6.48</v>
      </c>
      <c r="M293" s="4">
        <v>6.48</v>
      </c>
      <c r="N293" s="4">
        <v>6.48</v>
      </c>
      <c r="O293" s="4">
        <v>6.48</v>
      </c>
      <c r="P293" s="4">
        <v>5</v>
      </c>
      <c r="Q293" s="3" t="s">
        <v>26</v>
      </c>
      <c r="R293" s="3">
        <v>0</v>
      </c>
      <c r="S293" s="3" t="s">
        <v>188</v>
      </c>
      <c r="T293" s="3" t="s">
        <v>325</v>
      </c>
      <c r="U293" s="3">
        <v>0</v>
      </c>
      <c r="V293" s="3">
        <v>5</v>
      </c>
      <c r="W293" s="3">
        <v>31</v>
      </c>
    </row>
    <row r="294" spans="1:23" ht="11.25" customHeight="1" x14ac:dyDescent="0.25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30</v>
      </c>
      <c r="F294" s="3" t="s">
        <v>25</v>
      </c>
      <c r="G294" s="3" t="s">
        <v>25</v>
      </c>
      <c r="H294" s="3" t="s">
        <v>25</v>
      </c>
      <c r="I294" s="6">
        <v>44440</v>
      </c>
      <c r="J294" s="4">
        <v>0</v>
      </c>
      <c r="K294" s="4">
        <v>0</v>
      </c>
      <c r="L294" s="4">
        <v>9.3810000000000002</v>
      </c>
      <c r="M294" s="4">
        <v>9.3810000000000002</v>
      </c>
      <c r="N294" s="4">
        <v>9.3810000000000002</v>
      </c>
      <c r="O294" s="4">
        <v>9.3810000000000002</v>
      </c>
      <c r="P294" s="4">
        <v>26</v>
      </c>
      <c r="Q294" s="3" t="s">
        <v>26</v>
      </c>
      <c r="R294" s="3">
        <v>0</v>
      </c>
      <c r="S294" s="3" t="s">
        <v>189</v>
      </c>
      <c r="T294" s="3" t="s">
        <v>326</v>
      </c>
      <c r="U294" s="3">
        <v>0</v>
      </c>
      <c r="V294" s="3">
        <v>9</v>
      </c>
      <c r="W294" s="3">
        <v>37</v>
      </c>
    </row>
    <row r="295" spans="1:2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30</v>
      </c>
      <c r="F295" s="3" t="s">
        <v>25</v>
      </c>
      <c r="G295" s="3" t="s">
        <v>25</v>
      </c>
      <c r="H295" s="3" t="s">
        <v>25</v>
      </c>
      <c r="I295" s="6">
        <v>44470</v>
      </c>
      <c r="J295" s="4">
        <v>0</v>
      </c>
      <c r="K295" s="4">
        <v>0</v>
      </c>
      <c r="L295" s="4">
        <v>9.577</v>
      </c>
      <c r="M295" s="4">
        <v>9.577</v>
      </c>
      <c r="N295" s="4">
        <v>9.577</v>
      </c>
      <c r="O295" s="4">
        <v>9.577</v>
      </c>
      <c r="P295" s="4">
        <v>24</v>
      </c>
      <c r="Q295" s="3" t="s">
        <v>26</v>
      </c>
      <c r="R295" s="3">
        <v>0</v>
      </c>
      <c r="S295" s="3" t="s">
        <v>190</v>
      </c>
      <c r="T295" s="3" t="s">
        <v>327</v>
      </c>
      <c r="U295" s="3">
        <v>0</v>
      </c>
      <c r="V295" s="3">
        <v>9</v>
      </c>
      <c r="W295" s="3">
        <v>37</v>
      </c>
    </row>
    <row r="296" spans="1:2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30</v>
      </c>
      <c r="F296" s="3" t="s">
        <v>25</v>
      </c>
      <c r="G296" s="3" t="s">
        <v>25</v>
      </c>
      <c r="H296" s="3" t="s">
        <v>25</v>
      </c>
      <c r="I296" s="6">
        <v>44501</v>
      </c>
      <c r="J296" s="4">
        <v>0</v>
      </c>
      <c r="K296" s="4">
        <v>0</v>
      </c>
      <c r="L296" s="4">
        <v>9.8580000000000005</v>
      </c>
      <c r="M296" s="4">
        <v>9.8580000000000005</v>
      </c>
      <c r="N296" s="4">
        <v>9.8580000000000005</v>
      </c>
      <c r="O296" s="4">
        <v>9.8580000000000005</v>
      </c>
      <c r="P296" s="4">
        <v>32</v>
      </c>
      <c r="Q296" s="3" t="s">
        <v>26</v>
      </c>
      <c r="R296" s="3">
        <v>0</v>
      </c>
      <c r="S296" s="3" t="s">
        <v>191</v>
      </c>
      <c r="T296" s="3" t="s">
        <v>328</v>
      </c>
      <c r="U296" s="3">
        <v>0</v>
      </c>
      <c r="V296" s="3">
        <v>9</v>
      </c>
      <c r="W296" s="3">
        <v>37</v>
      </c>
    </row>
    <row r="297" spans="1:23" ht="11.25" customHeight="1" x14ac:dyDescent="0.25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30</v>
      </c>
      <c r="F297" s="3" t="s">
        <v>25</v>
      </c>
      <c r="G297" s="3" t="s">
        <v>25</v>
      </c>
      <c r="H297" s="3" t="s">
        <v>25</v>
      </c>
      <c r="I297" s="6">
        <v>44531</v>
      </c>
      <c r="J297" s="4">
        <v>0</v>
      </c>
      <c r="K297" s="4">
        <v>0</v>
      </c>
      <c r="L297" s="4">
        <v>11.009</v>
      </c>
      <c r="M297" s="4">
        <v>11.009</v>
      </c>
      <c r="N297" s="4">
        <v>11.009</v>
      </c>
      <c r="O297" s="4">
        <v>11.009</v>
      </c>
      <c r="P297" s="4">
        <v>27</v>
      </c>
      <c r="Q297" s="3" t="s">
        <v>26</v>
      </c>
      <c r="R297" s="3">
        <v>0</v>
      </c>
      <c r="S297" s="3" t="s">
        <v>192</v>
      </c>
      <c r="T297" s="3" t="s">
        <v>329</v>
      </c>
      <c r="U297" s="3">
        <v>0</v>
      </c>
      <c r="V297" s="3">
        <v>9</v>
      </c>
      <c r="W297" s="3">
        <v>37</v>
      </c>
    </row>
    <row r="298" spans="1:2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30</v>
      </c>
      <c r="F298" s="3" t="s">
        <v>25</v>
      </c>
      <c r="G298" s="3" t="s">
        <v>25</v>
      </c>
      <c r="H298" s="3" t="s">
        <v>25</v>
      </c>
      <c r="I298" s="6">
        <v>44562</v>
      </c>
      <c r="J298" s="4">
        <v>0</v>
      </c>
      <c r="K298" s="4">
        <v>0</v>
      </c>
      <c r="L298" s="4">
        <v>10.821</v>
      </c>
      <c r="M298" s="4">
        <v>10.821</v>
      </c>
      <c r="N298" s="4">
        <v>10.821</v>
      </c>
      <c r="O298" s="4">
        <v>10.821</v>
      </c>
      <c r="P298" s="4">
        <v>31</v>
      </c>
      <c r="Q298" s="3" t="s">
        <v>26</v>
      </c>
      <c r="R298" s="3">
        <v>0</v>
      </c>
      <c r="S298" s="3" t="s">
        <v>193</v>
      </c>
      <c r="T298" s="3" t="s">
        <v>330</v>
      </c>
      <c r="U298" s="3">
        <v>0</v>
      </c>
      <c r="V298" s="3">
        <v>9</v>
      </c>
      <c r="W298" s="3">
        <v>37</v>
      </c>
    </row>
    <row r="299" spans="1:23" ht="11.25" customHeight="1" x14ac:dyDescent="0.25">
      <c r="A299" s="3" t="s">
        <v>27</v>
      </c>
      <c r="B299" s="3" t="s">
        <v>22</v>
      </c>
      <c r="C299" s="3" t="s">
        <v>23</v>
      </c>
      <c r="D299" s="3" t="s">
        <v>24</v>
      </c>
      <c r="E299" s="3" t="s">
        <v>30</v>
      </c>
      <c r="F299" s="3" t="s">
        <v>25</v>
      </c>
      <c r="G299" s="3" t="s">
        <v>25</v>
      </c>
      <c r="H299" s="3" t="s">
        <v>25</v>
      </c>
      <c r="I299" s="6">
        <v>44562</v>
      </c>
      <c r="J299" s="4">
        <v>0</v>
      </c>
      <c r="K299" s="4">
        <v>0</v>
      </c>
      <c r="L299" s="4">
        <v>-7.0000000000000007E-2</v>
      </c>
      <c r="M299" s="4">
        <v>-7.0000000000000007E-2</v>
      </c>
      <c r="N299" s="4">
        <v>-7.0000000000000007E-2</v>
      </c>
      <c r="O299" s="4">
        <v>-7.0000000000000007E-2</v>
      </c>
      <c r="P299" s="4">
        <v>0</v>
      </c>
      <c r="Q299" s="3" t="s">
        <v>26</v>
      </c>
      <c r="R299" s="3">
        <v>0</v>
      </c>
      <c r="S299" s="3" t="s">
        <v>193</v>
      </c>
      <c r="T299" s="3" t="s">
        <v>330</v>
      </c>
      <c r="U299" s="3">
        <v>0</v>
      </c>
      <c r="V299" s="3">
        <v>9</v>
      </c>
      <c r="W299" s="3">
        <v>37</v>
      </c>
    </row>
    <row r="300" spans="1:2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30</v>
      </c>
      <c r="F300" s="3" t="s">
        <v>25</v>
      </c>
      <c r="G300" s="3" t="s">
        <v>25</v>
      </c>
      <c r="H300" s="3" t="s">
        <v>25</v>
      </c>
      <c r="I300" s="6">
        <v>44593</v>
      </c>
      <c r="J300" s="4">
        <v>0</v>
      </c>
      <c r="K300" s="4">
        <v>0</v>
      </c>
      <c r="L300" s="4">
        <v>12.329000000000001</v>
      </c>
      <c r="M300" s="4">
        <v>12.329000000000001</v>
      </c>
      <c r="N300" s="4">
        <v>12.329000000000001</v>
      </c>
      <c r="O300" s="4">
        <v>12.329000000000001</v>
      </c>
      <c r="P300" s="4">
        <v>30</v>
      </c>
      <c r="Q300" s="3" t="s">
        <v>26</v>
      </c>
      <c r="R300" s="3">
        <v>0</v>
      </c>
      <c r="S300" s="3" t="s">
        <v>194</v>
      </c>
      <c r="T300" s="3" t="s">
        <v>331</v>
      </c>
      <c r="U300" s="3">
        <v>0</v>
      </c>
      <c r="V300" s="3">
        <v>9</v>
      </c>
      <c r="W300" s="3">
        <v>37</v>
      </c>
    </row>
    <row r="301" spans="1:23" ht="11.25" customHeight="1" x14ac:dyDescent="0.25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30</v>
      </c>
      <c r="F301" s="3" t="s">
        <v>25</v>
      </c>
      <c r="G301" s="3" t="s">
        <v>25</v>
      </c>
      <c r="H301" s="3" t="s">
        <v>25</v>
      </c>
      <c r="I301" s="6">
        <v>44621</v>
      </c>
      <c r="J301" s="4">
        <v>0</v>
      </c>
      <c r="K301" s="4">
        <v>0</v>
      </c>
      <c r="L301" s="4">
        <v>14.779</v>
      </c>
      <c r="M301" s="4">
        <v>14.779</v>
      </c>
      <c r="N301" s="4">
        <v>14.779</v>
      </c>
      <c r="O301" s="4">
        <v>14.779</v>
      </c>
      <c r="P301" s="4">
        <v>35</v>
      </c>
      <c r="Q301" s="3" t="s">
        <v>26</v>
      </c>
      <c r="R301" s="3">
        <v>0</v>
      </c>
      <c r="S301" s="3" t="s">
        <v>195</v>
      </c>
      <c r="T301" s="3" t="s">
        <v>332</v>
      </c>
      <c r="U301" s="3">
        <v>0</v>
      </c>
      <c r="V301" s="3">
        <v>9</v>
      </c>
      <c r="W301" s="3">
        <v>37</v>
      </c>
    </row>
    <row r="302" spans="1:2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30</v>
      </c>
      <c r="F302" s="3" t="s">
        <v>25</v>
      </c>
      <c r="G302" s="3" t="s">
        <v>25</v>
      </c>
      <c r="H302" s="3" t="s">
        <v>25</v>
      </c>
      <c r="I302" s="6">
        <v>44652</v>
      </c>
      <c r="J302" s="4">
        <v>0</v>
      </c>
      <c r="K302" s="4">
        <v>0</v>
      </c>
      <c r="L302" s="4">
        <v>15.113</v>
      </c>
      <c r="M302" s="4">
        <v>15.113</v>
      </c>
      <c r="N302" s="4">
        <v>15.113</v>
      </c>
      <c r="O302" s="4">
        <v>15.113</v>
      </c>
      <c r="P302" s="4">
        <v>43</v>
      </c>
      <c r="Q302" s="3" t="s">
        <v>26</v>
      </c>
      <c r="R302" s="3">
        <v>0</v>
      </c>
      <c r="S302" s="3" t="s">
        <v>196</v>
      </c>
      <c r="T302" s="3" t="s">
        <v>333</v>
      </c>
      <c r="U302" s="3">
        <v>0</v>
      </c>
      <c r="V302" s="3">
        <v>9</v>
      </c>
      <c r="W302" s="3">
        <v>37</v>
      </c>
    </row>
    <row r="303" spans="1:23" ht="11.25" customHeight="1" x14ac:dyDescent="0.25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30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15.212999999999999</v>
      </c>
      <c r="M303" s="4">
        <v>15.212999999999999</v>
      </c>
      <c r="N303" s="4">
        <v>15.212999999999999</v>
      </c>
      <c r="O303" s="4">
        <v>15.212999999999999</v>
      </c>
      <c r="P303" s="4">
        <v>43</v>
      </c>
      <c r="Q303" s="3" t="s">
        <v>26</v>
      </c>
      <c r="R303" s="3">
        <v>0</v>
      </c>
      <c r="S303" s="3" t="s">
        <v>197</v>
      </c>
      <c r="T303" s="3" t="s">
        <v>334</v>
      </c>
      <c r="U303" s="3">
        <v>0</v>
      </c>
      <c r="V303" s="3">
        <v>9</v>
      </c>
      <c r="W303" s="3">
        <v>37</v>
      </c>
    </row>
    <row r="304" spans="1:2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30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13.866</v>
      </c>
      <c r="M304" s="4">
        <v>13.866</v>
      </c>
      <c r="N304" s="4">
        <v>13.866</v>
      </c>
      <c r="O304" s="4">
        <v>13.866</v>
      </c>
      <c r="P304" s="4">
        <v>47</v>
      </c>
      <c r="Q304" s="3" t="s">
        <v>26</v>
      </c>
      <c r="R304" s="3">
        <v>0</v>
      </c>
      <c r="S304" s="3" t="s">
        <v>198</v>
      </c>
      <c r="T304" s="3" t="s">
        <v>335</v>
      </c>
      <c r="U304" s="3">
        <v>0</v>
      </c>
      <c r="V304" s="3">
        <v>9</v>
      </c>
      <c r="W304" s="3">
        <v>37</v>
      </c>
    </row>
    <row r="305" spans="1:23" ht="11.25" customHeight="1" x14ac:dyDescent="0.25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30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0</v>
      </c>
      <c r="K305" s="4">
        <v>0</v>
      </c>
      <c r="L305" s="4">
        <v>13.898999999999999</v>
      </c>
      <c r="M305" s="4">
        <v>13.898999999999999</v>
      </c>
      <c r="N305" s="4">
        <v>13.898999999999999</v>
      </c>
      <c r="O305" s="4">
        <v>13.898999999999999</v>
      </c>
      <c r="P305" s="4">
        <v>39</v>
      </c>
      <c r="Q305" s="3" t="s">
        <v>26</v>
      </c>
      <c r="R305" s="3">
        <v>0</v>
      </c>
      <c r="S305" s="3" t="s">
        <v>199</v>
      </c>
      <c r="T305" s="3" t="s">
        <v>336</v>
      </c>
      <c r="U305" s="3">
        <v>0</v>
      </c>
      <c r="V305" s="3">
        <v>9</v>
      </c>
      <c r="W305" s="3">
        <v>37</v>
      </c>
    </row>
    <row r="306" spans="1:2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30</v>
      </c>
      <c r="F306" s="3" t="s">
        <v>25</v>
      </c>
      <c r="G306" s="3" t="s">
        <v>25</v>
      </c>
      <c r="H306" s="3" t="s">
        <v>25</v>
      </c>
      <c r="I306" s="6">
        <v>44774</v>
      </c>
      <c r="J306" s="4">
        <v>0</v>
      </c>
      <c r="K306" s="4">
        <v>0</v>
      </c>
      <c r="L306" s="4">
        <v>13.744999999999999</v>
      </c>
      <c r="M306" s="4">
        <v>13.744999999999999</v>
      </c>
      <c r="N306" s="4">
        <v>13.744999999999999</v>
      </c>
      <c r="O306" s="4">
        <v>13.744999999999999</v>
      </c>
      <c r="P306" s="4">
        <v>43</v>
      </c>
      <c r="Q306" s="3" t="s">
        <v>26</v>
      </c>
      <c r="R306" s="3">
        <v>0</v>
      </c>
      <c r="S306" s="3" t="s">
        <v>200</v>
      </c>
      <c r="T306" s="3" t="s">
        <v>337</v>
      </c>
      <c r="U306" s="3">
        <v>0</v>
      </c>
      <c r="V306" s="3">
        <v>9</v>
      </c>
      <c r="W306" s="3">
        <v>37</v>
      </c>
    </row>
    <row r="307" spans="1:23" ht="11.25" customHeight="1" x14ac:dyDescent="0.25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31</v>
      </c>
      <c r="F307" s="3" t="s">
        <v>25</v>
      </c>
      <c r="G307" s="3" t="s">
        <v>25</v>
      </c>
      <c r="H307" s="3" t="s">
        <v>25</v>
      </c>
      <c r="I307" s="6">
        <v>44440</v>
      </c>
      <c r="J307" s="4">
        <v>0</v>
      </c>
      <c r="K307" s="4">
        <v>0</v>
      </c>
      <c r="L307" s="4">
        <v>8.6289999999999996</v>
      </c>
      <c r="M307" s="4">
        <v>8.6289999999999996</v>
      </c>
      <c r="N307" s="4">
        <v>8.6289999999999996</v>
      </c>
      <c r="O307" s="4">
        <v>8.6289999999999996</v>
      </c>
      <c r="P307" s="4">
        <v>87</v>
      </c>
      <c r="Q307" s="3" t="s">
        <v>26</v>
      </c>
      <c r="R307" s="3">
        <v>0</v>
      </c>
      <c r="S307" s="3" t="s">
        <v>201</v>
      </c>
      <c r="T307" s="3" t="s">
        <v>338</v>
      </c>
      <c r="U307" s="3">
        <v>0</v>
      </c>
      <c r="V307" s="3">
        <v>42</v>
      </c>
      <c r="W307" s="3">
        <v>48</v>
      </c>
    </row>
    <row r="308" spans="1:2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31</v>
      </c>
      <c r="F308" s="3" t="s">
        <v>25</v>
      </c>
      <c r="G308" s="3" t="s">
        <v>25</v>
      </c>
      <c r="H308" s="3" t="s">
        <v>25</v>
      </c>
      <c r="I308" s="6">
        <v>44470</v>
      </c>
      <c r="J308" s="4">
        <v>0</v>
      </c>
      <c r="K308" s="4">
        <v>0</v>
      </c>
      <c r="L308" s="4">
        <v>9.2449999999999992</v>
      </c>
      <c r="M308" s="4">
        <v>9.2449999999999992</v>
      </c>
      <c r="N308" s="4">
        <v>9.2449999999999992</v>
      </c>
      <c r="O308" s="4">
        <v>9.2449999999999992</v>
      </c>
      <c r="P308" s="4">
        <v>82</v>
      </c>
      <c r="Q308" s="3" t="s">
        <v>26</v>
      </c>
      <c r="R308" s="3">
        <v>0</v>
      </c>
      <c r="S308" s="3" t="s">
        <v>202</v>
      </c>
      <c r="T308" s="3" t="s">
        <v>339</v>
      </c>
      <c r="U308" s="3">
        <v>0</v>
      </c>
      <c r="V308" s="3">
        <v>42</v>
      </c>
      <c r="W308" s="3">
        <v>48</v>
      </c>
    </row>
    <row r="309" spans="1:23" ht="11.25" customHeight="1" x14ac:dyDescent="0.25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31</v>
      </c>
      <c r="F309" s="3" t="s">
        <v>25</v>
      </c>
      <c r="G309" s="3" t="s">
        <v>25</v>
      </c>
      <c r="H309" s="3" t="s">
        <v>25</v>
      </c>
      <c r="I309" s="6">
        <v>44501</v>
      </c>
      <c r="J309" s="4">
        <v>0</v>
      </c>
      <c r="K309" s="4">
        <v>0</v>
      </c>
      <c r="L309" s="4">
        <v>8.7720000000000002</v>
      </c>
      <c r="M309" s="4">
        <v>8.7720000000000002</v>
      </c>
      <c r="N309" s="4">
        <v>8.7720000000000002</v>
      </c>
      <c r="O309" s="4">
        <v>8.7720000000000002</v>
      </c>
      <c r="P309" s="4">
        <v>85</v>
      </c>
      <c r="Q309" s="3" t="s">
        <v>26</v>
      </c>
      <c r="R309" s="3">
        <v>0</v>
      </c>
      <c r="S309" s="3" t="s">
        <v>203</v>
      </c>
      <c r="T309" s="3" t="s">
        <v>340</v>
      </c>
      <c r="U309" s="3">
        <v>0</v>
      </c>
      <c r="V309" s="3">
        <v>42</v>
      </c>
      <c r="W309" s="3">
        <v>48</v>
      </c>
    </row>
    <row r="310" spans="1:2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31</v>
      </c>
      <c r="F310" s="3" t="s">
        <v>25</v>
      </c>
      <c r="G310" s="3" t="s">
        <v>25</v>
      </c>
      <c r="H310" s="3" t="s">
        <v>25</v>
      </c>
      <c r="I310" s="6">
        <v>44531</v>
      </c>
      <c r="J310" s="4">
        <v>0</v>
      </c>
      <c r="K310" s="4">
        <v>0</v>
      </c>
      <c r="L310" s="4">
        <v>11.242000000000001</v>
      </c>
      <c r="M310" s="4">
        <v>11.242000000000001</v>
      </c>
      <c r="N310" s="4">
        <v>11.242000000000001</v>
      </c>
      <c r="O310" s="4">
        <v>11.242000000000001</v>
      </c>
      <c r="P310" s="4">
        <v>88</v>
      </c>
      <c r="Q310" s="3" t="s">
        <v>26</v>
      </c>
      <c r="R310" s="3">
        <v>0</v>
      </c>
      <c r="S310" s="3" t="s">
        <v>204</v>
      </c>
      <c r="T310" s="3" t="s">
        <v>341</v>
      </c>
      <c r="U310" s="3">
        <v>0</v>
      </c>
      <c r="V310" s="3">
        <v>42</v>
      </c>
      <c r="W310" s="3">
        <v>48</v>
      </c>
    </row>
    <row r="311" spans="1:2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31</v>
      </c>
      <c r="F311" s="3" t="s">
        <v>25</v>
      </c>
      <c r="G311" s="3" t="s">
        <v>25</v>
      </c>
      <c r="H311" s="3" t="s">
        <v>25</v>
      </c>
      <c r="I311" s="6">
        <v>44562</v>
      </c>
      <c r="J311" s="4">
        <v>0</v>
      </c>
      <c r="K311" s="4">
        <v>0</v>
      </c>
      <c r="L311" s="4">
        <v>10.589</v>
      </c>
      <c r="M311" s="4">
        <v>10.589</v>
      </c>
      <c r="N311" s="4">
        <v>10.589</v>
      </c>
      <c r="O311" s="4">
        <v>10.589</v>
      </c>
      <c r="P311" s="4">
        <v>88</v>
      </c>
      <c r="Q311" s="3" t="s">
        <v>26</v>
      </c>
      <c r="R311" s="3">
        <v>0</v>
      </c>
      <c r="S311" s="3" t="s">
        <v>205</v>
      </c>
      <c r="T311" s="3" t="s">
        <v>342</v>
      </c>
      <c r="U311" s="3">
        <v>0</v>
      </c>
      <c r="V311" s="3">
        <v>42</v>
      </c>
      <c r="W311" s="3">
        <v>48</v>
      </c>
    </row>
    <row r="312" spans="1:23" ht="11.25" customHeight="1" x14ac:dyDescent="0.25">
      <c r="A312" s="3" t="s">
        <v>27</v>
      </c>
      <c r="B312" s="3" t="s">
        <v>22</v>
      </c>
      <c r="C312" s="3" t="s">
        <v>23</v>
      </c>
      <c r="D312" s="3" t="s">
        <v>24</v>
      </c>
      <c r="E312" s="3" t="s">
        <v>31</v>
      </c>
      <c r="F312" s="3" t="s">
        <v>25</v>
      </c>
      <c r="G312" s="3" t="s">
        <v>25</v>
      </c>
      <c r="H312" s="3" t="s">
        <v>25</v>
      </c>
      <c r="I312" s="6">
        <v>44562</v>
      </c>
      <c r="J312" s="4">
        <v>0</v>
      </c>
      <c r="K312" s="4">
        <v>0</v>
      </c>
      <c r="L312" s="4">
        <v>-0.113</v>
      </c>
      <c r="M312" s="4">
        <v>-0.113</v>
      </c>
      <c r="N312" s="4">
        <v>-0.113</v>
      </c>
      <c r="O312" s="4">
        <v>-0.113</v>
      </c>
      <c r="P312" s="4">
        <v>0</v>
      </c>
      <c r="Q312" s="3" t="s">
        <v>26</v>
      </c>
      <c r="R312" s="3">
        <v>0</v>
      </c>
      <c r="S312" s="3" t="s">
        <v>205</v>
      </c>
      <c r="T312" s="3" t="s">
        <v>342</v>
      </c>
      <c r="U312" s="3">
        <v>0</v>
      </c>
      <c r="V312" s="3">
        <v>42</v>
      </c>
      <c r="W312" s="3">
        <v>48</v>
      </c>
    </row>
    <row r="313" spans="1:2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31</v>
      </c>
      <c r="F313" s="3" t="s">
        <v>25</v>
      </c>
      <c r="G313" s="3" t="s">
        <v>25</v>
      </c>
      <c r="H313" s="3" t="s">
        <v>25</v>
      </c>
      <c r="I313" s="6">
        <v>44593</v>
      </c>
      <c r="J313" s="4">
        <v>0</v>
      </c>
      <c r="K313" s="4">
        <v>0</v>
      </c>
      <c r="L313" s="4">
        <v>11.867000000000001</v>
      </c>
      <c r="M313" s="4">
        <v>11.867000000000001</v>
      </c>
      <c r="N313" s="4">
        <v>11.867000000000001</v>
      </c>
      <c r="O313" s="4">
        <v>11.867000000000001</v>
      </c>
      <c r="P313" s="4">
        <v>112</v>
      </c>
      <c r="Q313" s="3" t="s">
        <v>26</v>
      </c>
      <c r="R313" s="3">
        <v>0</v>
      </c>
      <c r="S313" s="3" t="s">
        <v>206</v>
      </c>
      <c r="T313" s="3" t="s">
        <v>343</v>
      </c>
      <c r="U313" s="3">
        <v>0</v>
      </c>
      <c r="V313" s="3">
        <v>42</v>
      </c>
      <c r="W313" s="3">
        <v>48</v>
      </c>
    </row>
    <row r="314" spans="1:2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31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14.621</v>
      </c>
      <c r="M314" s="4">
        <v>14.621</v>
      </c>
      <c r="N314" s="4">
        <v>14.621</v>
      </c>
      <c r="O314" s="4">
        <v>14.621</v>
      </c>
      <c r="P314" s="4">
        <v>131</v>
      </c>
      <c r="Q314" s="3" t="s">
        <v>26</v>
      </c>
      <c r="R314" s="3">
        <v>0</v>
      </c>
      <c r="S314" s="3" t="s">
        <v>207</v>
      </c>
      <c r="T314" s="3" t="s">
        <v>344</v>
      </c>
      <c r="U314" s="3">
        <v>0</v>
      </c>
      <c r="V314" s="3">
        <v>42</v>
      </c>
      <c r="W314" s="3">
        <v>48</v>
      </c>
    </row>
    <row r="315" spans="1:2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31</v>
      </c>
      <c r="F315" s="3" t="s">
        <v>25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13.91</v>
      </c>
      <c r="M315" s="4">
        <v>13.91</v>
      </c>
      <c r="N315" s="4">
        <v>13.91</v>
      </c>
      <c r="O315" s="4">
        <v>13.91</v>
      </c>
      <c r="P315" s="4">
        <v>139</v>
      </c>
      <c r="Q315" s="3" t="s">
        <v>26</v>
      </c>
      <c r="R315" s="3">
        <v>0</v>
      </c>
      <c r="S315" s="3" t="s">
        <v>208</v>
      </c>
      <c r="T315" s="3" t="s">
        <v>345</v>
      </c>
      <c r="U315" s="3">
        <v>0</v>
      </c>
      <c r="V315" s="3">
        <v>42</v>
      </c>
      <c r="W315" s="3">
        <v>48</v>
      </c>
    </row>
    <row r="316" spans="1:2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31</v>
      </c>
      <c r="F316" s="3" t="s">
        <v>25</v>
      </c>
      <c r="G316" s="3" t="s">
        <v>25</v>
      </c>
      <c r="H316" s="3" t="s">
        <v>25</v>
      </c>
      <c r="I316" s="6">
        <v>44682</v>
      </c>
      <c r="J316" s="4">
        <v>0</v>
      </c>
      <c r="K316" s="4">
        <v>0</v>
      </c>
      <c r="L316" s="4">
        <v>13.505000000000001</v>
      </c>
      <c r="M316" s="4">
        <v>13.505000000000001</v>
      </c>
      <c r="N316" s="4">
        <v>13.505000000000001</v>
      </c>
      <c r="O316" s="4">
        <v>13.505000000000001</v>
      </c>
      <c r="P316" s="4">
        <v>152</v>
      </c>
      <c r="Q316" s="3" t="s">
        <v>26</v>
      </c>
      <c r="R316" s="3">
        <v>0</v>
      </c>
      <c r="S316" s="3" t="s">
        <v>209</v>
      </c>
      <c r="T316" s="3" t="s">
        <v>346</v>
      </c>
      <c r="U316" s="3">
        <v>0</v>
      </c>
      <c r="V316" s="3">
        <v>42</v>
      </c>
      <c r="W316" s="3">
        <v>48</v>
      </c>
    </row>
    <row r="317" spans="1:2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31</v>
      </c>
      <c r="F317" s="3" t="s">
        <v>25</v>
      </c>
      <c r="G317" s="3" t="s">
        <v>25</v>
      </c>
      <c r="H317" s="3" t="s">
        <v>25</v>
      </c>
      <c r="I317" s="6">
        <v>44713</v>
      </c>
      <c r="J317" s="4">
        <v>0</v>
      </c>
      <c r="K317" s="4">
        <v>0</v>
      </c>
      <c r="L317" s="4">
        <v>10.781000000000001</v>
      </c>
      <c r="M317" s="4">
        <v>10.781000000000001</v>
      </c>
      <c r="N317" s="4">
        <v>10.781000000000001</v>
      </c>
      <c r="O317" s="4">
        <v>10.781000000000001</v>
      </c>
      <c r="P317" s="4">
        <v>144</v>
      </c>
      <c r="Q317" s="3" t="s">
        <v>26</v>
      </c>
      <c r="R317" s="3">
        <v>0</v>
      </c>
      <c r="S317" s="3" t="s">
        <v>210</v>
      </c>
      <c r="T317" s="3" t="s">
        <v>347</v>
      </c>
      <c r="U317" s="3">
        <v>0</v>
      </c>
      <c r="V317" s="3">
        <v>42</v>
      </c>
      <c r="W317" s="3">
        <v>48</v>
      </c>
    </row>
    <row r="318" spans="1:2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31</v>
      </c>
      <c r="F318" s="3" t="s">
        <v>25</v>
      </c>
      <c r="G318" s="3" t="s">
        <v>25</v>
      </c>
      <c r="H318" s="3" t="s">
        <v>25</v>
      </c>
      <c r="I318" s="6">
        <v>44743</v>
      </c>
      <c r="J318" s="4">
        <v>0</v>
      </c>
      <c r="K318" s="4">
        <v>0</v>
      </c>
      <c r="L318" s="4">
        <v>10.792</v>
      </c>
      <c r="M318" s="4">
        <v>10.792</v>
      </c>
      <c r="N318" s="4">
        <v>10.792</v>
      </c>
      <c r="O318" s="4">
        <v>10.792</v>
      </c>
      <c r="P318" s="4">
        <v>149</v>
      </c>
      <c r="Q318" s="3" t="s">
        <v>26</v>
      </c>
      <c r="R318" s="3">
        <v>0</v>
      </c>
      <c r="S318" s="3" t="s">
        <v>211</v>
      </c>
      <c r="T318" s="3" t="s">
        <v>348</v>
      </c>
      <c r="U318" s="3">
        <v>0</v>
      </c>
      <c r="V318" s="3">
        <v>42</v>
      </c>
      <c r="W318" s="3">
        <v>48</v>
      </c>
    </row>
    <row r="319" spans="1:2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31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10.227</v>
      </c>
      <c r="M319" s="4">
        <v>10.227</v>
      </c>
      <c r="N319" s="4">
        <v>10.227</v>
      </c>
      <c r="O319" s="4">
        <v>10.227</v>
      </c>
      <c r="P319" s="4">
        <v>140</v>
      </c>
      <c r="Q319" s="3" t="s">
        <v>26</v>
      </c>
      <c r="R319" s="3">
        <v>0</v>
      </c>
      <c r="S319" s="3" t="s">
        <v>212</v>
      </c>
      <c r="T319" s="3" t="s">
        <v>349</v>
      </c>
      <c r="U319" s="3">
        <v>0</v>
      </c>
      <c r="V319" s="3">
        <v>42</v>
      </c>
      <c r="W319" s="3">
        <v>48</v>
      </c>
    </row>
    <row r="320" spans="1:2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32</v>
      </c>
      <c r="F320" s="3" t="s">
        <v>25</v>
      </c>
      <c r="G320" s="3" t="s">
        <v>25</v>
      </c>
      <c r="H320" s="3" t="s">
        <v>25</v>
      </c>
      <c r="I320" s="6">
        <v>44440</v>
      </c>
      <c r="J320" s="4">
        <v>0</v>
      </c>
      <c r="K320" s="4">
        <v>0</v>
      </c>
      <c r="L320" s="4">
        <v>2.3250000000000002</v>
      </c>
      <c r="M320" s="4">
        <v>2.3250000000000002</v>
      </c>
      <c r="N320" s="4">
        <v>2.3250000000000002</v>
      </c>
      <c r="O320" s="4">
        <v>2.3250000000000002</v>
      </c>
      <c r="P320" s="4">
        <v>31</v>
      </c>
      <c r="Q320" s="3" t="s">
        <v>26</v>
      </c>
      <c r="R320" s="3">
        <v>0</v>
      </c>
      <c r="S320" s="3" t="s">
        <v>213</v>
      </c>
      <c r="T320" s="3" t="s">
        <v>350</v>
      </c>
      <c r="U320" s="3">
        <v>0</v>
      </c>
      <c r="V320" s="3">
        <v>23</v>
      </c>
      <c r="W320" s="3">
        <v>43</v>
      </c>
    </row>
    <row r="321" spans="1:2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32</v>
      </c>
      <c r="F321" s="3" t="s">
        <v>25</v>
      </c>
      <c r="G321" s="3" t="s">
        <v>25</v>
      </c>
      <c r="H321" s="3" t="s">
        <v>25</v>
      </c>
      <c r="I321" s="6">
        <v>44470</v>
      </c>
      <c r="J321" s="4">
        <v>0</v>
      </c>
      <c r="K321" s="4">
        <v>0</v>
      </c>
      <c r="L321" s="4">
        <v>3.0830000000000002</v>
      </c>
      <c r="M321" s="4">
        <v>3.0830000000000002</v>
      </c>
      <c r="N321" s="4">
        <v>3.0830000000000002</v>
      </c>
      <c r="O321" s="4">
        <v>3.0830000000000002</v>
      </c>
      <c r="P321" s="4">
        <v>41</v>
      </c>
      <c r="Q321" s="3" t="s">
        <v>26</v>
      </c>
      <c r="R321" s="3">
        <v>0</v>
      </c>
      <c r="S321" s="3" t="s">
        <v>214</v>
      </c>
      <c r="T321" s="3" t="s">
        <v>351</v>
      </c>
      <c r="U321" s="3">
        <v>0</v>
      </c>
      <c r="V321" s="3">
        <v>23</v>
      </c>
      <c r="W321" s="3">
        <v>43</v>
      </c>
    </row>
    <row r="322" spans="1:2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32</v>
      </c>
      <c r="F322" s="3" t="s">
        <v>25</v>
      </c>
      <c r="G322" s="3" t="s">
        <v>25</v>
      </c>
      <c r="H322" s="3" t="s">
        <v>25</v>
      </c>
      <c r="I322" s="6">
        <v>44501</v>
      </c>
      <c r="J322" s="4">
        <v>0</v>
      </c>
      <c r="K322" s="4">
        <v>0</v>
      </c>
      <c r="L322" s="4">
        <v>2.3530000000000002</v>
      </c>
      <c r="M322" s="4">
        <v>2.3530000000000002</v>
      </c>
      <c r="N322" s="4">
        <v>2.3530000000000002</v>
      </c>
      <c r="O322" s="4">
        <v>2.3530000000000002</v>
      </c>
      <c r="P322" s="4">
        <v>34</v>
      </c>
      <c r="Q322" s="3" t="s">
        <v>26</v>
      </c>
      <c r="R322" s="3">
        <v>0</v>
      </c>
      <c r="S322" s="3" t="s">
        <v>215</v>
      </c>
      <c r="T322" s="3" t="s">
        <v>352</v>
      </c>
      <c r="U322" s="3">
        <v>0</v>
      </c>
      <c r="V322" s="3">
        <v>23</v>
      </c>
      <c r="W322" s="3">
        <v>43</v>
      </c>
    </row>
    <row r="323" spans="1:23" ht="11.25" customHeight="1" x14ac:dyDescent="0.25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32</v>
      </c>
      <c r="F323" s="3" t="s">
        <v>25</v>
      </c>
      <c r="G323" s="3" t="s">
        <v>25</v>
      </c>
      <c r="H323" s="3" t="s">
        <v>25</v>
      </c>
      <c r="I323" s="6">
        <v>44531</v>
      </c>
      <c r="J323" s="4">
        <v>0</v>
      </c>
      <c r="K323" s="4">
        <v>0</v>
      </c>
      <c r="L323" s="4">
        <v>3.536</v>
      </c>
      <c r="M323" s="4">
        <v>3.536</v>
      </c>
      <c r="N323" s="4">
        <v>3.536</v>
      </c>
      <c r="O323" s="4">
        <v>3.536</v>
      </c>
      <c r="P323" s="4">
        <v>50</v>
      </c>
      <c r="Q323" s="3" t="s">
        <v>26</v>
      </c>
      <c r="R323" s="3">
        <v>0</v>
      </c>
      <c r="S323" s="3" t="s">
        <v>216</v>
      </c>
      <c r="T323" s="3" t="s">
        <v>353</v>
      </c>
      <c r="U323" s="3">
        <v>0</v>
      </c>
      <c r="V323" s="3">
        <v>23</v>
      </c>
      <c r="W323" s="3">
        <v>43</v>
      </c>
    </row>
    <row r="324" spans="1:2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32</v>
      </c>
      <c r="F324" s="3" t="s">
        <v>25</v>
      </c>
      <c r="G324" s="3" t="s">
        <v>25</v>
      </c>
      <c r="H324" s="3" t="s">
        <v>25</v>
      </c>
      <c r="I324" s="6">
        <v>44562</v>
      </c>
      <c r="J324" s="4">
        <v>0</v>
      </c>
      <c r="K324" s="4">
        <v>0</v>
      </c>
      <c r="L324" s="4">
        <v>3.3959999999999999</v>
      </c>
      <c r="M324" s="4">
        <v>3.3959999999999999</v>
      </c>
      <c r="N324" s="4">
        <v>3.3959999999999999</v>
      </c>
      <c r="O324" s="4">
        <v>3.3959999999999999</v>
      </c>
      <c r="P324" s="4">
        <v>45</v>
      </c>
      <c r="Q324" s="3" t="s">
        <v>26</v>
      </c>
      <c r="R324" s="3">
        <v>0</v>
      </c>
      <c r="S324" s="3" t="s">
        <v>217</v>
      </c>
      <c r="T324" s="3" t="s">
        <v>354</v>
      </c>
      <c r="U324" s="3">
        <v>0</v>
      </c>
      <c r="V324" s="3">
        <v>23</v>
      </c>
      <c r="W324" s="3">
        <v>43</v>
      </c>
    </row>
    <row r="325" spans="1:2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32</v>
      </c>
      <c r="F325" s="3" t="s">
        <v>25</v>
      </c>
      <c r="G325" s="3" t="s">
        <v>25</v>
      </c>
      <c r="H325" s="3" t="s">
        <v>25</v>
      </c>
      <c r="I325" s="6">
        <v>44593</v>
      </c>
      <c r="J325" s="4">
        <v>0</v>
      </c>
      <c r="K325" s="4">
        <v>0</v>
      </c>
      <c r="L325" s="4">
        <v>3.423</v>
      </c>
      <c r="M325" s="4">
        <v>3.423</v>
      </c>
      <c r="N325" s="4">
        <v>3.423</v>
      </c>
      <c r="O325" s="4">
        <v>3.423</v>
      </c>
      <c r="P325" s="4">
        <v>44</v>
      </c>
      <c r="Q325" s="3" t="s">
        <v>26</v>
      </c>
      <c r="R325" s="3">
        <v>0</v>
      </c>
      <c r="S325" s="3" t="s">
        <v>218</v>
      </c>
      <c r="T325" s="3" t="s">
        <v>355</v>
      </c>
      <c r="U325" s="3">
        <v>0</v>
      </c>
      <c r="V325" s="3">
        <v>23</v>
      </c>
      <c r="W325" s="3">
        <v>43</v>
      </c>
    </row>
    <row r="326" spans="1:2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32</v>
      </c>
      <c r="F326" s="3" t="s">
        <v>25</v>
      </c>
      <c r="G326" s="3" t="s">
        <v>25</v>
      </c>
      <c r="H326" s="3" t="s">
        <v>25</v>
      </c>
      <c r="I326" s="6">
        <v>44621</v>
      </c>
      <c r="J326" s="4">
        <v>0</v>
      </c>
      <c r="K326" s="4">
        <v>0</v>
      </c>
      <c r="L326" s="4">
        <v>4.8380000000000001</v>
      </c>
      <c r="M326" s="4">
        <v>4.8380000000000001</v>
      </c>
      <c r="N326" s="4">
        <v>4.8380000000000001</v>
      </c>
      <c r="O326" s="4">
        <v>4.8380000000000001</v>
      </c>
      <c r="P326" s="4">
        <v>57</v>
      </c>
      <c r="Q326" s="3" t="s">
        <v>26</v>
      </c>
      <c r="R326" s="3">
        <v>0</v>
      </c>
      <c r="S326" s="3" t="s">
        <v>219</v>
      </c>
      <c r="T326" s="3" t="s">
        <v>356</v>
      </c>
      <c r="U326" s="3">
        <v>0</v>
      </c>
      <c r="V326" s="3">
        <v>23</v>
      </c>
      <c r="W326" s="3">
        <v>43</v>
      </c>
    </row>
    <row r="327" spans="1:2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32</v>
      </c>
      <c r="F327" s="3" t="s">
        <v>25</v>
      </c>
      <c r="G327" s="3" t="s">
        <v>25</v>
      </c>
      <c r="H327" s="3" t="s">
        <v>25</v>
      </c>
      <c r="I327" s="6">
        <v>44652</v>
      </c>
      <c r="J327" s="4">
        <v>0</v>
      </c>
      <c r="K327" s="4">
        <v>0</v>
      </c>
      <c r="L327" s="4">
        <v>4.3819999999999997</v>
      </c>
      <c r="M327" s="4">
        <v>4.3819999999999997</v>
      </c>
      <c r="N327" s="4">
        <v>4.3819999999999997</v>
      </c>
      <c r="O327" s="4">
        <v>4.3819999999999997</v>
      </c>
      <c r="P327" s="4">
        <v>48</v>
      </c>
      <c r="Q327" s="3" t="s">
        <v>26</v>
      </c>
      <c r="R327" s="3">
        <v>0</v>
      </c>
      <c r="S327" s="3" t="s">
        <v>220</v>
      </c>
      <c r="T327" s="3" t="s">
        <v>357</v>
      </c>
      <c r="U327" s="3">
        <v>0</v>
      </c>
      <c r="V327" s="3">
        <v>23</v>
      </c>
      <c r="W327" s="3">
        <v>43</v>
      </c>
    </row>
    <row r="328" spans="1:2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32</v>
      </c>
      <c r="F328" s="3" t="s">
        <v>25</v>
      </c>
      <c r="G328" s="3" t="s">
        <v>25</v>
      </c>
      <c r="H328" s="3" t="s">
        <v>25</v>
      </c>
      <c r="I328" s="6">
        <v>44682</v>
      </c>
      <c r="J328" s="4">
        <v>0</v>
      </c>
      <c r="K328" s="4">
        <v>0</v>
      </c>
      <c r="L328" s="4">
        <v>2.6850000000000001</v>
      </c>
      <c r="M328" s="4">
        <v>2.6850000000000001</v>
      </c>
      <c r="N328" s="4">
        <v>2.6850000000000001</v>
      </c>
      <c r="O328" s="4">
        <v>2.6850000000000001</v>
      </c>
      <c r="P328" s="4">
        <v>37</v>
      </c>
      <c r="Q328" s="3" t="s">
        <v>26</v>
      </c>
      <c r="R328" s="3">
        <v>0</v>
      </c>
      <c r="S328" s="3" t="s">
        <v>221</v>
      </c>
      <c r="T328" s="3" t="s">
        <v>358</v>
      </c>
      <c r="U328" s="3">
        <v>0</v>
      </c>
      <c r="V328" s="3">
        <v>23</v>
      </c>
      <c r="W328" s="3">
        <v>43</v>
      </c>
    </row>
    <row r="329" spans="1:2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32</v>
      </c>
      <c r="F329" s="3" t="s">
        <v>25</v>
      </c>
      <c r="G329" s="3" t="s">
        <v>25</v>
      </c>
      <c r="H329" s="3" t="s">
        <v>25</v>
      </c>
      <c r="I329" s="6">
        <v>44713</v>
      </c>
      <c r="J329" s="4">
        <v>0</v>
      </c>
      <c r="K329" s="4">
        <v>0</v>
      </c>
      <c r="L329" s="4">
        <v>1.996</v>
      </c>
      <c r="M329" s="4">
        <v>1.996</v>
      </c>
      <c r="N329" s="4">
        <v>1.996</v>
      </c>
      <c r="O329" s="4">
        <v>1.996</v>
      </c>
      <c r="P329" s="4">
        <v>27</v>
      </c>
      <c r="Q329" s="3" t="s">
        <v>26</v>
      </c>
      <c r="R329" s="3">
        <v>0</v>
      </c>
      <c r="S329" s="3" t="s">
        <v>222</v>
      </c>
      <c r="T329" s="3" t="s">
        <v>359</v>
      </c>
      <c r="U329" s="3">
        <v>0</v>
      </c>
      <c r="V329" s="3">
        <v>23</v>
      </c>
      <c r="W329" s="3">
        <v>43</v>
      </c>
    </row>
    <row r="330" spans="1:2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32</v>
      </c>
      <c r="F330" s="3" t="s">
        <v>25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2.0640000000000001</v>
      </c>
      <c r="M330" s="4">
        <v>2.0640000000000001</v>
      </c>
      <c r="N330" s="4">
        <v>2.0640000000000001</v>
      </c>
      <c r="O330" s="4">
        <v>2.0640000000000001</v>
      </c>
      <c r="P330" s="4">
        <v>27</v>
      </c>
      <c r="Q330" s="3" t="s">
        <v>26</v>
      </c>
      <c r="R330" s="3">
        <v>0</v>
      </c>
      <c r="S330" s="3" t="s">
        <v>223</v>
      </c>
      <c r="T330" s="3" t="s">
        <v>360</v>
      </c>
      <c r="U330" s="3">
        <v>0</v>
      </c>
      <c r="V330" s="3">
        <v>23</v>
      </c>
      <c r="W330" s="3">
        <v>43</v>
      </c>
    </row>
    <row r="331" spans="1:2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32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2.57</v>
      </c>
      <c r="M331" s="4">
        <v>2.57</v>
      </c>
      <c r="N331" s="4">
        <v>2.57</v>
      </c>
      <c r="O331" s="4">
        <v>2.57</v>
      </c>
      <c r="P331" s="4">
        <v>28</v>
      </c>
      <c r="Q331" s="3" t="s">
        <v>26</v>
      </c>
      <c r="R331" s="3">
        <v>0</v>
      </c>
      <c r="S331" s="3" t="s">
        <v>224</v>
      </c>
      <c r="T331" s="3" t="s">
        <v>361</v>
      </c>
      <c r="U331" s="3">
        <v>0</v>
      </c>
      <c r="V331" s="3">
        <v>23</v>
      </c>
      <c r="W331" s="3">
        <v>43</v>
      </c>
    </row>
    <row r="332" spans="1:23" ht="11.25" customHeight="1" x14ac:dyDescent="0.25">
      <c r="A332" s="3" t="s">
        <v>21</v>
      </c>
      <c r="B332" s="3" t="s">
        <v>40</v>
      </c>
      <c r="C332" s="3" t="s">
        <v>23</v>
      </c>
      <c r="D332" s="3" t="s">
        <v>41</v>
      </c>
      <c r="E332" s="3" t="s">
        <v>50</v>
      </c>
      <c r="F332" s="3" t="s">
        <v>51</v>
      </c>
      <c r="G332" s="3" t="s">
        <v>25</v>
      </c>
      <c r="H332" s="3" t="s">
        <v>25</v>
      </c>
      <c r="I332" s="6">
        <v>44440</v>
      </c>
      <c r="J332" s="4">
        <v>0</v>
      </c>
      <c r="K332" s="4">
        <v>0</v>
      </c>
      <c r="L332" s="4">
        <v>114.512</v>
      </c>
      <c r="M332" s="4">
        <v>114.512</v>
      </c>
      <c r="N332" s="4">
        <v>114.512</v>
      </c>
      <c r="O332" s="4">
        <v>114.512</v>
      </c>
      <c r="P332" s="4">
        <v>0</v>
      </c>
      <c r="Q332" s="3" t="s">
        <v>26</v>
      </c>
      <c r="R332" s="3">
        <v>0</v>
      </c>
      <c r="S332" s="3" t="s">
        <v>225</v>
      </c>
      <c r="T332" s="3" t="s">
        <v>362</v>
      </c>
      <c r="U332" s="3">
        <v>0</v>
      </c>
      <c r="V332" s="3">
        <v>20</v>
      </c>
      <c r="W332" s="3">
        <v>52</v>
      </c>
    </row>
    <row r="333" spans="1:23" ht="11.25" customHeight="1" x14ac:dyDescent="0.25">
      <c r="A333" s="3" t="s">
        <v>21</v>
      </c>
      <c r="B333" s="3" t="s">
        <v>40</v>
      </c>
      <c r="C333" s="3" t="s">
        <v>23</v>
      </c>
      <c r="D333" s="3" t="s">
        <v>41</v>
      </c>
      <c r="E333" s="3" t="s">
        <v>50</v>
      </c>
      <c r="F333" s="3" t="s">
        <v>51</v>
      </c>
      <c r="G333" s="3" t="s">
        <v>25</v>
      </c>
      <c r="H333" s="3" t="s">
        <v>25</v>
      </c>
      <c r="I333" s="6">
        <v>44470</v>
      </c>
      <c r="J333" s="4">
        <v>0</v>
      </c>
      <c r="K333" s="4">
        <v>0</v>
      </c>
      <c r="L333" s="4">
        <v>145.73699999999999</v>
      </c>
      <c r="M333" s="4">
        <v>145.73699999999999</v>
      </c>
      <c r="N333" s="4">
        <v>145.73699999999999</v>
      </c>
      <c r="O333" s="4">
        <v>145.73699999999999</v>
      </c>
      <c r="P333" s="4">
        <v>0</v>
      </c>
      <c r="Q333" s="3" t="s">
        <v>26</v>
      </c>
      <c r="R333" s="3">
        <v>0</v>
      </c>
      <c r="S333" s="3" t="s">
        <v>226</v>
      </c>
      <c r="T333" s="3" t="s">
        <v>363</v>
      </c>
      <c r="U333" s="3">
        <v>0</v>
      </c>
      <c r="V333" s="3">
        <v>20</v>
      </c>
      <c r="W333" s="3">
        <v>52</v>
      </c>
    </row>
    <row r="334" spans="1:23" ht="11.25" customHeight="1" x14ac:dyDescent="0.25">
      <c r="A334" s="3" t="s">
        <v>21</v>
      </c>
      <c r="B334" s="3" t="s">
        <v>40</v>
      </c>
      <c r="C334" s="3" t="s">
        <v>23</v>
      </c>
      <c r="D334" s="3" t="s">
        <v>41</v>
      </c>
      <c r="E334" s="3" t="s">
        <v>50</v>
      </c>
      <c r="F334" s="3" t="s">
        <v>51</v>
      </c>
      <c r="G334" s="3" t="s">
        <v>25</v>
      </c>
      <c r="H334" s="3" t="s">
        <v>25</v>
      </c>
      <c r="I334" s="6">
        <v>44501</v>
      </c>
      <c r="J334" s="4">
        <v>0</v>
      </c>
      <c r="K334" s="4">
        <v>0</v>
      </c>
      <c r="L334" s="4">
        <v>36.270000000000003</v>
      </c>
      <c r="M334" s="4">
        <v>36.270000000000003</v>
      </c>
      <c r="N334" s="4">
        <v>36.270000000000003</v>
      </c>
      <c r="O334" s="4">
        <v>36.270000000000003</v>
      </c>
      <c r="P334" s="4">
        <v>0</v>
      </c>
      <c r="Q334" s="3" t="s">
        <v>26</v>
      </c>
      <c r="R334" s="3">
        <v>0</v>
      </c>
      <c r="S334" s="3" t="s">
        <v>227</v>
      </c>
      <c r="T334" s="3" t="s">
        <v>364</v>
      </c>
      <c r="U334" s="3">
        <v>0</v>
      </c>
      <c r="V334" s="3">
        <v>20</v>
      </c>
      <c r="W334" s="3">
        <v>52</v>
      </c>
    </row>
    <row r="335" spans="1:23" ht="11.25" customHeight="1" x14ac:dyDescent="0.25">
      <c r="A335" s="3" t="s">
        <v>21</v>
      </c>
      <c r="B335" s="3" t="s">
        <v>40</v>
      </c>
      <c r="C335" s="3" t="s">
        <v>23</v>
      </c>
      <c r="D335" s="3" t="s">
        <v>41</v>
      </c>
      <c r="E335" s="3" t="s">
        <v>50</v>
      </c>
      <c r="F335" s="3" t="s">
        <v>51</v>
      </c>
      <c r="G335" s="3" t="s">
        <v>25</v>
      </c>
      <c r="H335" s="3" t="s">
        <v>25</v>
      </c>
      <c r="I335" s="6">
        <v>44531</v>
      </c>
      <c r="J335" s="4">
        <v>0</v>
      </c>
      <c r="K335" s="4">
        <v>0</v>
      </c>
      <c r="L335" s="4">
        <v>29.285</v>
      </c>
      <c r="M335" s="4">
        <v>29.285</v>
      </c>
      <c r="N335" s="4">
        <v>29.285</v>
      </c>
      <c r="O335" s="4">
        <v>29.285</v>
      </c>
      <c r="P335" s="4">
        <v>0</v>
      </c>
      <c r="Q335" s="3" t="s">
        <v>26</v>
      </c>
      <c r="R335" s="3">
        <v>0</v>
      </c>
      <c r="S335" s="3" t="s">
        <v>228</v>
      </c>
      <c r="T335" s="3" t="s">
        <v>365</v>
      </c>
      <c r="U335" s="3">
        <v>0</v>
      </c>
      <c r="V335" s="3">
        <v>20</v>
      </c>
      <c r="W335" s="3">
        <v>52</v>
      </c>
    </row>
    <row r="336" spans="1:23" ht="11.25" customHeight="1" x14ac:dyDescent="0.25">
      <c r="A336" s="3" t="s">
        <v>21</v>
      </c>
      <c r="B336" s="3" t="s">
        <v>40</v>
      </c>
      <c r="C336" s="3" t="s">
        <v>23</v>
      </c>
      <c r="D336" s="3" t="s">
        <v>41</v>
      </c>
      <c r="E336" s="3" t="s">
        <v>50</v>
      </c>
      <c r="F336" s="3" t="s">
        <v>51</v>
      </c>
      <c r="G336" s="3" t="s">
        <v>25</v>
      </c>
      <c r="H336" s="3" t="s">
        <v>25</v>
      </c>
      <c r="I336" s="6">
        <v>44562</v>
      </c>
      <c r="J336" s="4">
        <v>0</v>
      </c>
      <c r="K336" s="4">
        <v>0</v>
      </c>
      <c r="L336" s="4">
        <v>12.792</v>
      </c>
      <c r="M336" s="4">
        <v>12.792</v>
      </c>
      <c r="N336" s="4">
        <v>12.792</v>
      </c>
      <c r="O336" s="4">
        <v>12.792</v>
      </c>
      <c r="P336" s="4">
        <v>0</v>
      </c>
      <c r="Q336" s="3" t="s">
        <v>26</v>
      </c>
      <c r="R336" s="3">
        <v>0</v>
      </c>
      <c r="S336" s="3" t="s">
        <v>229</v>
      </c>
      <c r="T336" s="3" t="s">
        <v>366</v>
      </c>
      <c r="U336" s="3">
        <v>0</v>
      </c>
      <c r="V336" s="3">
        <v>20</v>
      </c>
      <c r="W336" s="3">
        <v>52</v>
      </c>
    </row>
    <row r="337" spans="1:23" ht="11.25" customHeight="1" x14ac:dyDescent="0.25">
      <c r="A337" s="3" t="s">
        <v>21</v>
      </c>
      <c r="B337" s="3" t="s">
        <v>40</v>
      </c>
      <c r="C337" s="3" t="s">
        <v>23</v>
      </c>
      <c r="D337" s="3" t="s">
        <v>41</v>
      </c>
      <c r="E337" s="3" t="s">
        <v>50</v>
      </c>
      <c r="F337" s="3" t="s">
        <v>51</v>
      </c>
      <c r="G337" s="3" t="s">
        <v>25</v>
      </c>
      <c r="H337" s="3" t="s">
        <v>25</v>
      </c>
      <c r="I337" s="6">
        <v>44593</v>
      </c>
      <c r="J337" s="4">
        <v>0</v>
      </c>
      <c r="K337" s="4">
        <v>0</v>
      </c>
      <c r="L337" s="4">
        <v>7.1849999999999996</v>
      </c>
      <c r="M337" s="4">
        <v>7.1849999999999996</v>
      </c>
      <c r="N337" s="4">
        <v>7.1849999999999996</v>
      </c>
      <c r="O337" s="4">
        <v>7.1849999999999996</v>
      </c>
      <c r="P337" s="4">
        <v>0</v>
      </c>
      <c r="Q337" s="3" t="s">
        <v>26</v>
      </c>
      <c r="R337" s="3">
        <v>0</v>
      </c>
      <c r="S337" s="3" t="s">
        <v>230</v>
      </c>
      <c r="T337" s="3" t="s">
        <v>367</v>
      </c>
      <c r="U337" s="3">
        <v>0</v>
      </c>
      <c r="V337" s="3">
        <v>20</v>
      </c>
      <c r="W337" s="3">
        <v>52</v>
      </c>
    </row>
    <row r="338" spans="1:23" ht="11.25" customHeight="1" x14ac:dyDescent="0.25">
      <c r="A338" s="3" t="s">
        <v>21</v>
      </c>
      <c r="B338" s="3" t="s">
        <v>40</v>
      </c>
      <c r="C338" s="3" t="s">
        <v>23</v>
      </c>
      <c r="D338" s="3" t="s">
        <v>41</v>
      </c>
      <c r="E338" s="3" t="s">
        <v>50</v>
      </c>
      <c r="F338" s="3" t="s">
        <v>51</v>
      </c>
      <c r="G338" s="3" t="s">
        <v>25</v>
      </c>
      <c r="H338" s="3" t="s">
        <v>25</v>
      </c>
      <c r="I338" s="6">
        <v>44621</v>
      </c>
      <c r="J338" s="4">
        <v>0</v>
      </c>
      <c r="K338" s="4">
        <v>0</v>
      </c>
      <c r="L338" s="4">
        <v>22.152000000000001</v>
      </c>
      <c r="M338" s="4">
        <v>22.152000000000001</v>
      </c>
      <c r="N338" s="4">
        <v>22.152000000000001</v>
      </c>
      <c r="O338" s="4">
        <v>22.152000000000001</v>
      </c>
      <c r="P338" s="4">
        <v>0</v>
      </c>
      <c r="Q338" s="3" t="s">
        <v>26</v>
      </c>
      <c r="R338" s="3">
        <v>0</v>
      </c>
      <c r="S338" s="3" t="s">
        <v>231</v>
      </c>
      <c r="T338" s="3" t="s">
        <v>368</v>
      </c>
      <c r="U338" s="3">
        <v>0</v>
      </c>
      <c r="V338" s="3">
        <v>20</v>
      </c>
      <c r="W338" s="3">
        <v>52</v>
      </c>
    </row>
    <row r="339" spans="1:23" ht="11.25" customHeight="1" x14ac:dyDescent="0.25">
      <c r="A339" s="3" t="s">
        <v>21</v>
      </c>
      <c r="B339" s="3" t="s">
        <v>40</v>
      </c>
      <c r="C339" s="3" t="s">
        <v>23</v>
      </c>
      <c r="D339" s="3" t="s">
        <v>41</v>
      </c>
      <c r="E339" s="3" t="s">
        <v>50</v>
      </c>
      <c r="F339" s="3" t="s">
        <v>51</v>
      </c>
      <c r="G339" s="3" t="s">
        <v>25</v>
      </c>
      <c r="H339" s="3" t="s">
        <v>25</v>
      </c>
      <c r="I339" s="6">
        <v>44652</v>
      </c>
      <c r="J339" s="4">
        <v>0</v>
      </c>
      <c r="K339" s="4">
        <v>0</v>
      </c>
      <c r="L339" s="4">
        <v>31.698</v>
      </c>
      <c r="M339" s="4">
        <v>31.698</v>
      </c>
      <c r="N339" s="4">
        <v>31.698</v>
      </c>
      <c r="O339" s="4">
        <v>31.698</v>
      </c>
      <c r="P339" s="4">
        <v>0</v>
      </c>
      <c r="Q339" s="3" t="s">
        <v>26</v>
      </c>
      <c r="R339" s="3">
        <v>0</v>
      </c>
      <c r="S339" s="3" t="s">
        <v>232</v>
      </c>
      <c r="T339" s="3" t="s">
        <v>369</v>
      </c>
      <c r="U339" s="3">
        <v>0</v>
      </c>
      <c r="V339" s="3">
        <v>20</v>
      </c>
      <c r="W339" s="3">
        <v>52</v>
      </c>
    </row>
    <row r="340" spans="1:23" ht="11.25" customHeight="1" x14ac:dyDescent="0.25">
      <c r="A340" s="3" t="s">
        <v>21</v>
      </c>
      <c r="B340" s="3" t="s">
        <v>40</v>
      </c>
      <c r="C340" s="3" t="s">
        <v>23</v>
      </c>
      <c r="D340" s="3" t="s">
        <v>41</v>
      </c>
      <c r="E340" s="3" t="s">
        <v>50</v>
      </c>
      <c r="F340" s="3" t="s">
        <v>51</v>
      </c>
      <c r="G340" s="3" t="s">
        <v>25</v>
      </c>
      <c r="H340" s="3" t="s">
        <v>25</v>
      </c>
      <c r="I340" s="6">
        <v>44682</v>
      </c>
      <c r="J340" s="4">
        <v>0</v>
      </c>
      <c r="K340" s="4">
        <v>0</v>
      </c>
      <c r="L340" s="4">
        <v>96.450999999999993</v>
      </c>
      <c r="M340" s="4">
        <v>96.450999999999993</v>
      </c>
      <c r="N340" s="4">
        <v>96.450999999999993</v>
      </c>
      <c r="O340" s="4">
        <v>96.450999999999993</v>
      </c>
      <c r="P340" s="4">
        <v>0</v>
      </c>
      <c r="Q340" s="3" t="s">
        <v>26</v>
      </c>
      <c r="R340" s="3">
        <v>0</v>
      </c>
      <c r="S340" s="3" t="s">
        <v>233</v>
      </c>
      <c r="T340" s="3" t="s">
        <v>370</v>
      </c>
      <c r="U340" s="3">
        <v>0</v>
      </c>
      <c r="V340" s="3">
        <v>20</v>
      </c>
      <c r="W340" s="3">
        <v>52</v>
      </c>
    </row>
    <row r="341" spans="1:23" ht="11.25" customHeight="1" x14ac:dyDescent="0.25">
      <c r="A341" s="3" t="s">
        <v>21</v>
      </c>
      <c r="B341" s="3" t="s">
        <v>40</v>
      </c>
      <c r="C341" s="3" t="s">
        <v>23</v>
      </c>
      <c r="D341" s="3" t="s">
        <v>41</v>
      </c>
      <c r="E341" s="3" t="s">
        <v>50</v>
      </c>
      <c r="F341" s="3" t="s">
        <v>51</v>
      </c>
      <c r="G341" s="3" t="s">
        <v>25</v>
      </c>
      <c r="H341" s="3" t="s">
        <v>25</v>
      </c>
      <c r="I341" s="6">
        <v>44713</v>
      </c>
      <c r="J341" s="4">
        <v>0</v>
      </c>
      <c r="K341" s="4">
        <v>0</v>
      </c>
      <c r="L341" s="4">
        <v>107.41500000000001</v>
      </c>
      <c r="M341" s="4">
        <v>107.41500000000001</v>
      </c>
      <c r="N341" s="4">
        <v>107.41500000000001</v>
      </c>
      <c r="O341" s="4">
        <v>107.41500000000001</v>
      </c>
      <c r="P341" s="4">
        <v>0</v>
      </c>
      <c r="Q341" s="3" t="s">
        <v>26</v>
      </c>
      <c r="R341" s="3">
        <v>0</v>
      </c>
      <c r="S341" s="3" t="s">
        <v>234</v>
      </c>
      <c r="T341" s="3" t="s">
        <v>371</v>
      </c>
      <c r="U341" s="3">
        <v>0</v>
      </c>
      <c r="V341" s="3">
        <v>20</v>
      </c>
      <c r="W341" s="3">
        <v>52</v>
      </c>
    </row>
    <row r="342" spans="1:23" ht="11.25" customHeight="1" x14ac:dyDescent="0.25">
      <c r="A342" s="3" t="s">
        <v>21</v>
      </c>
      <c r="B342" s="3" t="s">
        <v>40</v>
      </c>
      <c r="C342" s="3" t="s">
        <v>23</v>
      </c>
      <c r="D342" s="3" t="s">
        <v>41</v>
      </c>
      <c r="E342" s="3" t="s">
        <v>50</v>
      </c>
      <c r="F342" s="3" t="s">
        <v>51</v>
      </c>
      <c r="G342" s="3" t="s">
        <v>25</v>
      </c>
      <c r="H342" s="3" t="s">
        <v>25</v>
      </c>
      <c r="I342" s="6">
        <v>44743</v>
      </c>
      <c r="J342" s="4">
        <v>0</v>
      </c>
      <c r="K342" s="4">
        <v>0</v>
      </c>
      <c r="L342" s="4">
        <v>104.85899999999999</v>
      </c>
      <c r="M342" s="4">
        <v>104.85899999999999</v>
      </c>
      <c r="N342" s="4">
        <v>104.85899999999999</v>
      </c>
      <c r="O342" s="4">
        <v>104.85899999999999</v>
      </c>
      <c r="P342" s="4">
        <v>0</v>
      </c>
      <c r="Q342" s="3" t="s">
        <v>26</v>
      </c>
      <c r="R342" s="3">
        <v>0</v>
      </c>
      <c r="S342" s="3" t="s">
        <v>235</v>
      </c>
      <c r="T342" s="3" t="s">
        <v>372</v>
      </c>
      <c r="U342" s="3">
        <v>0</v>
      </c>
      <c r="V342" s="3">
        <v>20</v>
      </c>
      <c r="W342" s="3">
        <v>52</v>
      </c>
    </row>
    <row r="343" spans="1:23" ht="11.25" customHeight="1" x14ac:dyDescent="0.25">
      <c r="A343" s="3" t="s">
        <v>21</v>
      </c>
      <c r="B343" s="3" t="s">
        <v>40</v>
      </c>
      <c r="C343" s="3" t="s">
        <v>23</v>
      </c>
      <c r="D343" s="3" t="s">
        <v>41</v>
      </c>
      <c r="E343" s="3" t="s">
        <v>50</v>
      </c>
      <c r="F343" s="3" t="s">
        <v>51</v>
      </c>
      <c r="G343" s="3" t="s">
        <v>25</v>
      </c>
      <c r="H343" s="3" t="s">
        <v>25</v>
      </c>
      <c r="I343" s="6">
        <v>44774</v>
      </c>
      <c r="J343" s="4">
        <v>0</v>
      </c>
      <c r="K343" s="4">
        <v>0</v>
      </c>
      <c r="L343" s="4">
        <v>156.339</v>
      </c>
      <c r="M343" s="4">
        <v>156.339</v>
      </c>
      <c r="N343" s="4">
        <v>156.339</v>
      </c>
      <c r="O343" s="4">
        <v>156.339</v>
      </c>
      <c r="P343" s="4">
        <v>0</v>
      </c>
      <c r="Q343" s="3" t="s">
        <v>26</v>
      </c>
      <c r="R343" s="3">
        <v>0</v>
      </c>
      <c r="S343" s="3" t="s">
        <v>236</v>
      </c>
      <c r="T343" s="3" t="s">
        <v>373</v>
      </c>
      <c r="U343" s="3">
        <v>0</v>
      </c>
      <c r="V343" s="3">
        <v>20</v>
      </c>
      <c r="W343" s="3">
        <v>52</v>
      </c>
    </row>
    <row r="344" spans="1:23" ht="11.25" customHeight="1" x14ac:dyDescent="0.25">
      <c r="A344" s="3" t="s">
        <v>21</v>
      </c>
      <c r="B344" s="3" t="s">
        <v>40</v>
      </c>
      <c r="C344" s="3" t="s">
        <v>23</v>
      </c>
      <c r="D344" s="3" t="s">
        <v>41</v>
      </c>
      <c r="E344" s="3" t="s">
        <v>50</v>
      </c>
      <c r="F344" s="3" t="s">
        <v>52</v>
      </c>
      <c r="G344" s="3" t="s">
        <v>25</v>
      </c>
      <c r="H344" s="3" t="s">
        <v>25</v>
      </c>
      <c r="I344" s="6">
        <v>44440</v>
      </c>
      <c r="J344" s="4">
        <v>0</v>
      </c>
      <c r="K344" s="4">
        <v>0</v>
      </c>
      <c r="L344" s="4">
        <v>87.742000000000004</v>
      </c>
      <c r="M344" s="4">
        <v>35.096800000000002</v>
      </c>
      <c r="N344" s="4">
        <v>87.742000000000004</v>
      </c>
      <c r="O344" s="4">
        <v>35.096800000000002</v>
      </c>
      <c r="P344" s="4">
        <v>0</v>
      </c>
      <c r="Q344" s="3" t="s">
        <v>26</v>
      </c>
      <c r="R344" s="3">
        <v>0</v>
      </c>
      <c r="S344" s="3" t="s">
        <v>225</v>
      </c>
      <c r="T344" s="3" t="s">
        <v>362</v>
      </c>
      <c r="U344" s="3">
        <v>0</v>
      </c>
      <c r="V344" s="3">
        <v>20</v>
      </c>
      <c r="W344" s="3">
        <v>52</v>
      </c>
    </row>
    <row r="345" spans="1:23" ht="11.25" customHeight="1" x14ac:dyDescent="0.25">
      <c r="A345" s="3" t="s">
        <v>21</v>
      </c>
      <c r="B345" s="3" t="s">
        <v>40</v>
      </c>
      <c r="C345" s="3" t="s">
        <v>23</v>
      </c>
      <c r="D345" s="3" t="s">
        <v>41</v>
      </c>
      <c r="E345" s="3" t="s">
        <v>50</v>
      </c>
      <c r="F345" s="3" t="s">
        <v>52</v>
      </c>
      <c r="G345" s="3" t="s">
        <v>25</v>
      </c>
      <c r="H345" s="3" t="s">
        <v>25</v>
      </c>
      <c r="I345" s="6">
        <v>44470</v>
      </c>
      <c r="J345" s="4">
        <v>0</v>
      </c>
      <c r="K345" s="4">
        <v>0</v>
      </c>
      <c r="L345" s="4">
        <v>112.003</v>
      </c>
      <c r="M345" s="4">
        <v>44.801200000000001</v>
      </c>
      <c r="N345" s="4">
        <v>112.003</v>
      </c>
      <c r="O345" s="4">
        <v>44.801200000000001</v>
      </c>
      <c r="P345" s="4">
        <v>0</v>
      </c>
      <c r="Q345" s="3" t="s">
        <v>26</v>
      </c>
      <c r="R345" s="3">
        <v>0</v>
      </c>
      <c r="S345" s="3" t="s">
        <v>226</v>
      </c>
      <c r="T345" s="3" t="s">
        <v>363</v>
      </c>
      <c r="U345" s="3">
        <v>0</v>
      </c>
      <c r="V345" s="3">
        <v>20</v>
      </c>
      <c r="W345" s="3">
        <v>52</v>
      </c>
    </row>
    <row r="346" spans="1:23" ht="11.25" customHeight="1" x14ac:dyDescent="0.25">
      <c r="A346" s="3" t="s">
        <v>21</v>
      </c>
      <c r="B346" s="3" t="s">
        <v>40</v>
      </c>
      <c r="C346" s="3" t="s">
        <v>23</v>
      </c>
      <c r="D346" s="3" t="s">
        <v>41</v>
      </c>
      <c r="E346" s="3" t="s">
        <v>50</v>
      </c>
      <c r="F346" s="3" t="s">
        <v>52</v>
      </c>
      <c r="G346" s="3" t="s">
        <v>25</v>
      </c>
      <c r="H346" s="3" t="s">
        <v>25</v>
      </c>
      <c r="I346" s="6">
        <v>44501</v>
      </c>
      <c r="J346" s="4">
        <v>0</v>
      </c>
      <c r="K346" s="4">
        <v>0</v>
      </c>
      <c r="L346" s="4">
        <v>22.62</v>
      </c>
      <c r="M346" s="4">
        <v>9.048</v>
      </c>
      <c r="N346" s="4">
        <v>22.62</v>
      </c>
      <c r="O346" s="4">
        <v>9.048</v>
      </c>
      <c r="P346" s="4">
        <v>0</v>
      </c>
      <c r="Q346" s="3" t="s">
        <v>26</v>
      </c>
      <c r="R346" s="3">
        <v>0</v>
      </c>
      <c r="S346" s="3" t="s">
        <v>227</v>
      </c>
      <c r="T346" s="3" t="s">
        <v>364</v>
      </c>
      <c r="U346" s="3">
        <v>0</v>
      </c>
      <c r="V346" s="3">
        <v>20</v>
      </c>
      <c r="W346" s="3">
        <v>52</v>
      </c>
    </row>
    <row r="347" spans="1:23" ht="11.25" customHeight="1" x14ac:dyDescent="0.25">
      <c r="A347" s="3" t="s">
        <v>21</v>
      </c>
      <c r="B347" s="3" t="s">
        <v>40</v>
      </c>
      <c r="C347" s="3" t="s">
        <v>23</v>
      </c>
      <c r="D347" s="3" t="s">
        <v>41</v>
      </c>
      <c r="E347" s="3" t="s">
        <v>50</v>
      </c>
      <c r="F347" s="3" t="s">
        <v>52</v>
      </c>
      <c r="G347" s="3" t="s">
        <v>25</v>
      </c>
      <c r="H347" s="3" t="s">
        <v>25</v>
      </c>
      <c r="I347" s="6">
        <v>44531</v>
      </c>
      <c r="J347" s="4">
        <v>0</v>
      </c>
      <c r="K347" s="4">
        <v>0</v>
      </c>
      <c r="L347" s="4">
        <v>17.277999999999999</v>
      </c>
      <c r="M347" s="4">
        <v>6.9112</v>
      </c>
      <c r="N347" s="4">
        <v>17.277999999999999</v>
      </c>
      <c r="O347" s="4">
        <v>6.9112</v>
      </c>
      <c r="P347" s="4">
        <v>0</v>
      </c>
      <c r="Q347" s="3" t="s">
        <v>26</v>
      </c>
      <c r="R347" s="3">
        <v>0</v>
      </c>
      <c r="S347" s="3" t="s">
        <v>228</v>
      </c>
      <c r="T347" s="3" t="s">
        <v>365</v>
      </c>
      <c r="U347" s="3">
        <v>0</v>
      </c>
      <c r="V347" s="3">
        <v>20</v>
      </c>
      <c r="W347" s="3">
        <v>52</v>
      </c>
    </row>
    <row r="348" spans="1:23" ht="11.25" customHeight="1" x14ac:dyDescent="0.25">
      <c r="A348" s="3" t="s">
        <v>21</v>
      </c>
      <c r="B348" s="3" t="s">
        <v>40</v>
      </c>
      <c r="C348" s="3" t="s">
        <v>23</v>
      </c>
      <c r="D348" s="3" t="s">
        <v>41</v>
      </c>
      <c r="E348" s="3" t="s">
        <v>50</v>
      </c>
      <c r="F348" s="3" t="s">
        <v>52</v>
      </c>
      <c r="G348" s="3" t="s">
        <v>25</v>
      </c>
      <c r="H348" s="3" t="s">
        <v>25</v>
      </c>
      <c r="I348" s="6">
        <v>44562</v>
      </c>
      <c r="J348" s="4">
        <v>0</v>
      </c>
      <c r="K348" s="4">
        <v>0</v>
      </c>
      <c r="L348" s="4">
        <v>5.5650000000000004</v>
      </c>
      <c r="M348" s="4">
        <v>2.226</v>
      </c>
      <c r="N348" s="4">
        <v>5.5650000000000004</v>
      </c>
      <c r="O348" s="4">
        <v>2.226</v>
      </c>
      <c r="P348" s="4">
        <v>0</v>
      </c>
      <c r="Q348" s="3" t="s">
        <v>26</v>
      </c>
      <c r="R348" s="3">
        <v>0</v>
      </c>
      <c r="S348" s="3" t="s">
        <v>229</v>
      </c>
      <c r="T348" s="3" t="s">
        <v>366</v>
      </c>
      <c r="U348" s="3">
        <v>0</v>
      </c>
      <c r="V348" s="3">
        <v>20</v>
      </c>
      <c r="W348" s="3">
        <v>52</v>
      </c>
    </row>
    <row r="349" spans="1:23" ht="11.25" customHeight="1" x14ac:dyDescent="0.25">
      <c r="A349" s="3" t="s">
        <v>21</v>
      </c>
      <c r="B349" s="3" t="s">
        <v>40</v>
      </c>
      <c r="C349" s="3" t="s">
        <v>23</v>
      </c>
      <c r="D349" s="3" t="s">
        <v>41</v>
      </c>
      <c r="E349" s="3" t="s">
        <v>50</v>
      </c>
      <c r="F349" s="3" t="s">
        <v>52</v>
      </c>
      <c r="G349" s="3" t="s">
        <v>25</v>
      </c>
      <c r="H349" s="3" t="s">
        <v>25</v>
      </c>
      <c r="I349" s="6">
        <v>44593</v>
      </c>
      <c r="J349" s="4">
        <v>0</v>
      </c>
      <c r="K349" s="4">
        <v>0</v>
      </c>
      <c r="L349" s="4">
        <v>4.9180000000000001</v>
      </c>
      <c r="M349" s="4">
        <v>1.9672000000000001</v>
      </c>
      <c r="N349" s="4">
        <v>4.9180000000000001</v>
      </c>
      <c r="O349" s="4">
        <v>1.9672000000000001</v>
      </c>
      <c r="P349" s="4">
        <v>0</v>
      </c>
      <c r="Q349" s="3" t="s">
        <v>26</v>
      </c>
      <c r="R349" s="3">
        <v>0</v>
      </c>
      <c r="S349" s="3" t="s">
        <v>230</v>
      </c>
      <c r="T349" s="3" t="s">
        <v>367</v>
      </c>
      <c r="U349" s="3">
        <v>0</v>
      </c>
      <c r="V349" s="3">
        <v>20</v>
      </c>
      <c r="W349" s="3">
        <v>52</v>
      </c>
    </row>
    <row r="350" spans="1:23" ht="11.25" customHeight="1" x14ac:dyDescent="0.25">
      <c r="A350" s="3" t="s">
        <v>21</v>
      </c>
      <c r="B350" s="3" t="s">
        <v>40</v>
      </c>
      <c r="C350" s="3" t="s">
        <v>23</v>
      </c>
      <c r="D350" s="3" t="s">
        <v>41</v>
      </c>
      <c r="E350" s="3" t="s">
        <v>50</v>
      </c>
      <c r="F350" s="3" t="s">
        <v>52</v>
      </c>
      <c r="G350" s="3" t="s">
        <v>25</v>
      </c>
      <c r="H350" s="3" t="s">
        <v>25</v>
      </c>
      <c r="I350" s="6">
        <v>44621</v>
      </c>
      <c r="J350" s="4">
        <v>0</v>
      </c>
      <c r="K350" s="4">
        <v>0</v>
      </c>
      <c r="L350" s="4">
        <v>12.819000000000001</v>
      </c>
      <c r="M350" s="4">
        <v>5.1276000000000002</v>
      </c>
      <c r="N350" s="4">
        <v>12.819000000000001</v>
      </c>
      <c r="O350" s="4">
        <v>5.1276000000000002</v>
      </c>
      <c r="P350" s="4">
        <v>0</v>
      </c>
      <c r="Q350" s="3" t="s">
        <v>26</v>
      </c>
      <c r="R350" s="3">
        <v>0</v>
      </c>
      <c r="S350" s="3" t="s">
        <v>231</v>
      </c>
      <c r="T350" s="3" t="s">
        <v>368</v>
      </c>
      <c r="U350" s="3">
        <v>0</v>
      </c>
      <c r="V350" s="3">
        <v>20</v>
      </c>
      <c r="W350" s="3">
        <v>52</v>
      </c>
    </row>
    <row r="351" spans="1:23" ht="11.25" customHeight="1" x14ac:dyDescent="0.25">
      <c r="A351" s="3" t="s">
        <v>21</v>
      </c>
      <c r="B351" s="3" t="s">
        <v>40</v>
      </c>
      <c r="C351" s="3" t="s">
        <v>23</v>
      </c>
      <c r="D351" s="3" t="s">
        <v>41</v>
      </c>
      <c r="E351" s="3" t="s">
        <v>50</v>
      </c>
      <c r="F351" s="3" t="s">
        <v>52</v>
      </c>
      <c r="G351" s="3" t="s">
        <v>25</v>
      </c>
      <c r="H351" s="3" t="s">
        <v>25</v>
      </c>
      <c r="I351" s="6">
        <v>44652</v>
      </c>
      <c r="J351" s="4">
        <v>0</v>
      </c>
      <c r="K351" s="4">
        <v>0</v>
      </c>
      <c r="L351" s="4">
        <v>23.279</v>
      </c>
      <c r="M351" s="4">
        <v>9.3116000000000003</v>
      </c>
      <c r="N351" s="4">
        <v>23.279</v>
      </c>
      <c r="O351" s="4">
        <v>9.3116000000000003</v>
      </c>
      <c r="P351" s="4">
        <v>0</v>
      </c>
      <c r="Q351" s="3" t="s">
        <v>26</v>
      </c>
      <c r="R351" s="3">
        <v>0</v>
      </c>
      <c r="S351" s="3" t="s">
        <v>232</v>
      </c>
      <c r="T351" s="3" t="s">
        <v>369</v>
      </c>
      <c r="U351" s="3">
        <v>0</v>
      </c>
      <c r="V351" s="3">
        <v>20</v>
      </c>
      <c r="W351" s="3">
        <v>52</v>
      </c>
    </row>
    <row r="352" spans="1:23" ht="11.25" customHeight="1" x14ac:dyDescent="0.25">
      <c r="A352" s="3" t="s">
        <v>21</v>
      </c>
      <c r="B352" s="3" t="s">
        <v>40</v>
      </c>
      <c r="C352" s="3" t="s">
        <v>23</v>
      </c>
      <c r="D352" s="3" t="s">
        <v>41</v>
      </c>
      <c r="E352" s="3" t="s">
        <v>50</v>
      </c>
      <c r="F352" s="3" t="s">
        <v>52</v>
      </c>
      <c r="G352" s="3" t="s">
        <v>25</v>
      </c>
      <c r="H352" s="3" t="s">
        <v>25</v>
      </c>
      <c r="I352" s="6">
        <v>44682</v>
      </c>
      <c r="J352" s="4">
        <v>0</v>
      </c>
      <c r="K352" s="4">
        <v>0</v>
      </c>
      <c r="L352" s="4">
        <v>71.798000000000002</v>
      </c>
      <c r="M352" s="4">
        <v>28.719200000000001</v>
      </c>
      <c r="N352" s="4">
        <v>71.798000000000002</v>
      </c>
      <c r="O352" s="4">
        <v>28.719200000000001</v>
      </c>
      <c r="P352" s="4">
        <v>0</v>
      </c>
      <c r="Q352" s="3" t="s">
        <v>26</v>
      </c>
      <c r="R352" s="3">
        <v>0</v>
      </c>
      <c r="S352" s="3" t="s">
        <v>233</v>
      </c>
      <c r="T352" s="3" t="s">
        <v>370</v>
      </c>
      <c r="U352" s="3">
        <v>0</v>
      </c>
      <c r="V352" s="3">
        <v>20</v>
      </c>
      <c r="W352" s="3">
        <v>52</v>
      </c>
    </row>
    <row r="353" spans="1:23" ht="11.25" customHeight="1" x14ac:dyDescent="0.25">
      <c r="A353" s="3" t="s">
        <v>21</v>
      </c>
      <c r="B353" s="3" t="s">
        <v>40</v>
      </c>
      <c r="C353" s="3" t="s">
        <v>23</v>
      </c>
      <c r="D353" s="3" t="s">
        <v>41</v>
      </c>
      <c r="E353" s="3" t="s">
        <v>50</v>
      </c>
      <c r="F353" s="3" t="s">
        <v>52</v>
      </c>
      <c r="G353" s="3" t="s">
        <v>25</v>
      </c>
      <c r="H353" s="3" t="s">
        <v>25</v>
      </c>
      <c r="I353" s="6">
        <v>44713</v>
      </c>
      <c r="J353" s="4">
        <v>0</v>
      </c>
      <c r="K353" s="4">
        <v>0</v>
      </c>
      <c r="L353" s="4">
        <v>83.411000000000001</v>
      </c>
      <c r="M353" s="4">
        <v>33.364400000000003</v>
      </c>
      <c r="N353" s="4">
        <v>83.411000000000001</v>
      </c>
      <c r="O353" s="4">
        <v>33.364400000000003</v>
      </c>
      <c r="P353" s="4">
        <v>0</v>
      </c>
      <c r="Q353" s="3" t="s">
        <v>26</v>
      </c>
      <c r="R353" s="3">
        <v>0</v>
      </c>
      <c r="S353" s="3" t="s">
        <v>234</v>
      </c>
      <c r="T353" s="3" t="s">
        <v>371</v>
      </c>
      <c r="U353" s="3">
        <v>0</v>
      </c>
      <c r="V353" s="3">
        <v>20</v>
      </c>
      <c r="W353" s="3">
        <v>52</v>
      </c>
    </row>
    <row r="354" spans="1:23" ht="11.25" customHeight="1" x14ac:dyDescent="0.25">
      <c r="A354" s="3" t="s">
        <v>21</v>
      </c>
      <c r="B354" s="3" t="s">
        <v>40</v>
      </c>
      <c r="C354" s="3" t="s">
        <v>23</v>
      </c>
      <c r="D354" s="3" t="s">
        <v>41</v>
      </c>
      <c r="E354" s="3" t="s">
        <v>50</v>
      </c>
      <c r="F354" s="3" t="s">
        <v>52</v>
      </c>
      <c r="G354" s="3" t="s">
        <v>25</v>
      </c>
      <c r="H354" s="3" t="s">
        <v>25</v>
      </c>
      <c r="I354" s="6">
        <v>44743</v>
      </c>
      <c r="J354" s="4">
        <v>0</v>
      </c>
      <c r="K354" s="4">
        <v>0</v>
      </c>
      <c r="L354" s="4">
        <v>91.402000000000001</v>
      </c>
      <c r="M354" s="4">
        <v>36.5608</v>
      </c>
      <c r="N354" s="4">
        <v>91.402000000000001</v>
      </c>
      <c r="O354" s="4">
        <v>36.5608</v>
      </c>
      <c r="P354" s="4">
        <v>0</v>
      </c>
      <c r="Q354" s="3" t="s">
        <v>26</v>
      </c>
      <c r="R354" s="3">
        <v>0</v>
      </c>
      <c r="S354" s="3" t="s">
        <v>235</v>
      </c>
      <c r="T354" s="3" t="s">
        <v>372</v>
      </c>
      <c r="U354" s="3">
        <v>0</v>
      </c>
      <c r="V354" s="3">
        <v>20</v>
      </c>
      <c r="W354" s="3">
        <v>52</v>
      </c>
    </row>
    <row r="355" spans="1:23" ht="11.25" customHeight="1" x14ac:dyDescent="0.25">
      <c r="A355" s="3" t="s">
        <v>21</v>
      </c>
      <c r="B355" s="3" t="s">
        <v>40</v>
      </c>
      <c r="C355" s="3" t="s">
        <v>23</v>
      </c>
      <c r="D355" s="3" t="s">
        <v>41</v>
      </c>
      <c r="E355" s="3" t="s">
        <v>50</v>
      </c>
      <c r="F355" s="3" t="s">
        <v>52</v>
      </c>
      <c r="G355" s="3" t="s">
        <v>25</v>
      </c>
      <c r="H355" s="3" t="s">
        <v>25</v>
      </c>
      <c r="I355" s="6">
        <v>44774</v>
      </c>
      <c r="J355" s="4">
        <v>0</v>
      </c>
      <c r="K355" s="4">
        <v>0</v>
      </c>
      <c r="L355" s="4">
        <v>122.92100000000001</v>
      </c>
      <c r="M355" s="4">
        <v>49.168399999999998</v>
      </c>
      <c r="N355" s="4">
        <v>122.92100000000001</v>
      </c>
      <c r="O355" s="4">
        <v>49.168399999999998</v>
      </c>
      <c r="P355" s="4">
        <v>0</v>
      </c>
      <c r="Q355" s="3" t="s">
        <v>26</v>
      </c>
      <c r="R355" s="3">
        <v>0</v>
      </c>
      <c r="S355" s="3" t="s">
        <v>236</v>
      </c>
      <c r="T355" s="3" t="s">
        <v>373</v>
      </c>
      <c r="U355" s="3">
        <v>0</v>
      </c>
      <c r="V355" s="3">
        <v>20</v>
      </c>
      <c r="W355" s="3">
        <v>52</v>
      </c>
    </row>
    <row r="356" spans="1:23" ht="11.25" customHeight="1" x14ac:dyDescent="0.25">
      <c r="A356" s="3" t="s">
        <v>21</v>
      </c>
      <c r="B356" s="3" t="s">
        <v>40</v>
      </c>
      <c r="C356" s="3" t="s">
        <v>23</v>
      </c>
      <c r="D356" s="3" t="s">
        <v>41</v>
      </c>
      <c r="E356" s="3" t="s">
        <v>53</v>
      </c>
      <c r="F356" s="3" t="s">
        <v>51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1.6659999999999999</v>
      </c>
      <c r="M356" s="4">
        <v>1.6659999999999999</v>
      </c>
      <c r="N356" s="4">
        <v>1.6659999999999999</v>
      </c>
      <c r="O356" s="4">
        <v>1.6659999999999999</v>
      </c>
      <c r="P356" s="4">
        <v>0</v>
      </c>
      <c r="Q356" s="3" t="s">
        <v>26</v>
      </c>
      <c r="R356" s="3">
        <v>0</v>
      </c>
      <c r="S356" s="3" t="s">
        <v>234</v>
      </c>
      <c r="T356" s="3" t="s">
        <v>371</v>
      </c>
      <c r="U356" s="3">
        <v>0</v>
      </c>
      <c r="V356" s="3">
        <v>20</v>
      </c>
      <c r="W356" s="3">
        <v>52</v>
      </c>
    </row>
    <row r="357" spans="1:23" ht="11.25" customHeight="1" x14ac:dyDescent="0.25">
      <c r="A357" s="3" t="s">
        <v>21</v>
      </c>
      <c r="B357" s="3" t="s">
        <v>40</v>
      </c>
      <c r="C357" s="3" t="s">
        <v>23</v>
      </c>
      <c r="D357" s="3" t="s">
        <v>41</v>
      </c>
      <c r="E357" s="3" t="s">
        <v>53</v>
      </c>
      <c r="F357" s="3" t="s">
        <v>51</v>
      </c>
      <c r="G357" s="3" t="s">
        <v>25</v>
      </c>
      <c r="H357" s="3" t="s">
        <v>25</v>
      </c>
      <c r="I357" s="6">
        <v>44743</v>
      </c>
      <c r="J357" s="4">
        <v>0</v>
      </c>
      <c r="K357" s="4">
        <v>0</v>
      </c>
      <c r="L357" s="4">
        <v>1.6279999999999999</v>
      </c>
      <c r="M357" s="4">
        <v>1.6279999999999999</v>
      </c>
      <c r="N357" s="4">
        <v>1.6279999999999999</v>
      </c>
      <c r="O357" s="4">
        <v>1.6279999999999999</v>
      </c>
      <c r="P357" s="4">
        <v>0</v>
      </c>
      <c r="Q357" s="3" t="s">
        <v>26</v>
      </c>
      <c r="R357" s="3">
        <v>0</v>
      </c>
      <c r="S357" s="3" t="s">
        <v>235</v>
      </c>
      <c r="T357" s="3" t="s">
        <v>372</v>
      </c>
      <c r="U357" s="3">
        <v>0</v>
      </c>
      <c r="V357" s="3">
        <v>20</v>
      </c>
      <c r="W357" s="3">
        <v>52</v>
      </c>
    </row>
    <row r="358" spans="1:23" ht="11.25" customHeight="1" x14ac:dyDescent="0.25">
      <c r="A358" s="3" t="s">
        <v>21</v>
      </c>
      <c r="B358" s="3" t="s">
        <v>40</v>
      </c>
      <c r="C358" s="3" t="s">
        <v>23</v>
      </c>
      <c r="D358" s="3" t="s">
        <v>41</v>
      </c>
      <c r="E358" s="3" t="s">
        <v>53</v>
      </c>
      <c r="F358" s="3" t="s">
        <v>51</v>
      </c>
      <c r="G358" s="3" t="s">
        <v>25</v>
      </c>
      <c r="H358" s="3" t="s">
        <v>25</v>
      </c>
      <c r="I358" s="6">
        <v>44774</v>
      </c>
      <c r="J358" s="4">
        <v>0</v>
      </c>
      <c r="K358" s="4">
        <v>0</v>
      </c>
      <c r="L358" s="4">
        <v>0.871</v>
      </c>
      <c r="M358" s="4">
        <v>0.871</v>
      </c>
      <c r="N358" s="4">
        <v>0.871</v>
      </c>
      <c r="O358" s="4">
        <v>0.871</v>
      </c>
      <c r="P358" s="4">
        <v>0</v>
      </c>
      <c r="Q358" s="3" t="s">
        <v>26</v>
      </c>
      <c r="R358" s="3">
        <v>0</v>
      </c>
      <c r="S358" s="3" t="s">
        <v>236</v>
      </c>
      <c r="T358" s="3" t="s">
        <v>373</v>
      </c>
      <c r="U358" s="3">
        <v>0</v>
      </c>
      <c r="V358" s="3">
        <v>20</v>
      </c>
      <c r="W358" s="3">
        <v>52</v>
      </c>
    </row>
    <row r="359" spans="1:23" ht="11.25" customHeight="1" x14ac:dyDescent="0.25">
      <c r="A359" s="3" t="s">
        <v>21</v>
      </c>
      <c r="B359" s="3" t="s">
        <v>40</v>
      </c>
      <c r="C359" s="3" t="s">
        <v>23</v>
      </c>
      <c r="D359" s="3" t="s">
        <v>41</v>
      </c>
      <c r="E359" s="3" t="s">
        <v>53</v>
      </c>
      <c r="F359" s="3" t="s">
        <v>52</v>
      </c>
      <c r="G359" s="3" t="s">
        <v>25</v>
      </c>
      <c r="H359" s="3" t="s">
        <v>25</v>
      </c>
      <c r="I359" s="6">
        <v>44743</v>
      </c>
      <c r="J359" s="4">
        <v>0</v>
      </c>
      <c r="K359" s="4">
        <v>0</v>
      </c>
      <c r="L359" s="4">
        <v>1.3620000000000001</v>
      </c>
      <c r="M359" s="4">
        <v>0.54479999999999995</v>
      </c>
      <c r="N359" s="4">
        <v>1.3620000000000001</v>
      </c>
      <c r="O359" s="4">
        <v>0.54479999999999995</v>
      </c>
      <c r="P359" s="4">
        <v>0</v>
      </c>
      <c r="Q359" s="3" t="s">
        <v>26</v>
      </c>
      <c r="R359" s="3">
        <v>0</v>
      </c>
      <c r="S359" s="3" t="s">
        <v>235</v>
      </c>
      <c r="T359" s="3" t="s">
        <v>372</v>
      </c>
      <c r="U359" s="3">
        <v>0</v>
      </c>
      <c r="V359" s="3">
        <v>20</v>
      </c>
      <c r="W359" s="3">
        <v>52</v>
      </c>
    </row>
    <row r="360" spans="1:23" ht="11.25" customHeight="1" x14ac:dyDescent="0.25">
      <c r="A360" s="3" t="s">
        <v>21</v>
      </c>
      <c r="B360" s="3" t="s">
        <v>40</v>
      </c>
      <c r="C360" s="3" t="s">
        <v>23</v>
      </c>
      <c r="D360" s="3" t="s">
        <v>41</v>
      </c>
      <c r="E360" s="3" t="s">
        <v>53</v>
      </c>
      <c r="F360" s="3" t="s">
        <v>52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0.73199999999999998</v>
      </c>
      <c r="M360" s="4">
        <v>0.2928</v>
      </c>
      <c r="N360" s="4">
        <v>0.73199999999999998</v>
      </c>
      <c r="O360" s="4">
        <v>0.2928</v>
      </c>
      <c r="P360" s="4">
        <v>0</v>
      </c>
      <c r="Q360" s="3" t="s">
        <v>26</v>
      </c>
      <c r="R360" s="3">
        <v>0</v>
      </c>
      <c r="S360" s="3" t="s">
        <v>236</v>
      </c>
      <c r="T360" s="3" t="s">
        <v>373</v>
      </c>
      <c r="U360" s="3">
        <v>0</v>
      </c>
      <c r="V360" s="3">
        <v>20</v>
      </c>
      <c r="W360" s="3">
        <v>52</v>
      </c>
    </row>
    <row r="361" spans="1:23" ht="11.25" customHeight="1" x14ac:dyDescent="0.25">
      <c r="A361" s="3" t="s">
        <v>21</v>
      </c>
      <c r="B361" s="3" t="s">
        <v>40</v>
      </c>
      <c r="C361" s="3" t="s">
        <v>23</v>
      </c>
      <c r="D361" s="3" t="s">
        <v>41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44440</v>
      </c>
      <c r="J361" s="4">
        <v>0</v>
      </c>
      <c r="K361" s="4">
        <v>0</v>
      </c>
      <c r="L361" s="4">
        <v>393.584</v>
      </c>
      <c r="M361" s="4">
        <v>393.584</v>
      </c>
      <c r="N361" s="4">
        <v>393.584</v>
      </c>
      <c r="O361" s="4">
        <v>393.584</v>
      </c>
      <c r="P361" s="4">
        <v>412</v>
      </c>
      <c r="Q361" s="3" t="s">
        <v>26</v>
      </c>
      <c r="R361" s="3">
        <v>0</v>
      </c>
      <c r="S361" s="3" t="s">
        <v>225</v>
      </c>
      <c r="T361" s="3" t="s">
        <v>362</v>
      </c>
      <c r="U361" s="3">
        <v>0</v>
      </c>
      <c r="V361" s="3">
        <v>20</v>
      </c>
      <c r="W361" s="3">
        <v>52</v>
      </c>
    </row>
    <row r="362" spans="1:23" ht="11.25" customHeight="1" x14ac:dyDescent="0.25">
      <c r="A362" s="3" t="s">
        <v>28</v>
      </c>
      <c r="B362" s="3" t="s">
        <v>40</v>
      </c>
      <c r="C362" s="3" t="s">
        <v>23</v>
      </c>
      <c r="D362" s="3" t="s">
        <v>41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44440</v>
      </c>
      <c r="J362" s="4">
        <v>0</v>
      </c>
      <c r="K362" s="4">
        <v>0</v>
      </c>
      <c r="L362" s="4">
        <v>6.82</v>
      </c>
      <c r="M362" s="4">
        <v>6.82</v>
      </c>
      <c r="N362" s="4">
        <v>6.82</v>
      </c>
      <c r="O362" s="4">
        <v>6.82</v>
      </c>
      <c r="P362" s="4">
        <v>2</v>
      </c>
      <c r="Q362" s="3" t="s">
        <v>26</v>
      </c>
      <c r="R362" s="3">
        <v>0</v>
      </c>
      <c r="S362" s="3" t="s">
        <v>225</v>
      </c>
      <c r="T362" s="3" t="s">
        <v>362</v>
      </c>
      <c r="U362" s="3">
        <v>0</v>
      </c>
      <c r="V362" s="3">
        <v>20</v>
      </c>
      <c r="W362" s="3">
        <v>52</v>
      </c>
    </row>
    <row r="363" spans="1:23" ht="11.25" customHeight="1" x14ac:dyDescent="0.25">
      <c r="A363" s="3" t="s">
        <v>21</v>
      </c>
      <c r="B363" s="3" t="s">
        <v>40</v>
      </c>
      <c r="C363" s="3" t="s">
        <v>23</v>
      </c>
      <c r="D363" s="3" t="s">
        <v>41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44470</v>
      </c>
      <c r="J363" s="4">
        <v>0</v>
      </c>
      <c r="K363" s="4">
        <v>0</v>
      </c>
      <c r="L363" s="4">
        <v>397.71499999999997</v>
      </c>
      <c r="M363" s="4">
        <v>397.71499999999997</v>
      </c>
      <c r="N363" s="4">
        <v>397.71499999999997</v>
      </c>
      <c r="O363" s="4">
        <v>397.71499999999997</v>
      </c>
      <c r="P363" s="4">
        <v>409</v>
      </c>
      <c r="Q363" s="3" t="s">
        <v>26</v>
      </c>
      <c r="R363" s="3">
        <v>0</v>
      </c>
      <c r="S363" s="3" t="s">
        <v>226</v>
      </c>
      <c r="T363" s="3" t="s">
        <v>363</v>
      </c>
      <c r="U363" s="3">
        <v>0</v>
      </c>
      <c r="V363" s="3">
        <v>20</v>
      </c>
      <c r="W363" s="3">
        <v>52</v>
      </c>
    </row>
    <row r="364" spans="1:23" ht="11.25" customHeight="1" x14ac:dyDescent="0.25">
      <c r="A364" s="3" t="s">
        <v>28</v>
      </c>
      <c r="B364" s="3" t="s">
        <v>40</v>
      </c>
      <c r="C364" s="3" t="s">
        <v>23</v>
      </c>
      <c r="D364" s="3" t="s">
        <v>41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44470</v>
      </c>
      <c r="J364" s="4">
        <v>0</v>
      </c>
      <c r="K364" s="4">
        <v>0</v>
      </c>
      <c r="L364" s="4">
        <v>6.7629999999999999</v>
      </c>
      <c r="M364" s="4">
        <v>6.7629999999999999</v>
      </c>
      <c r="N364" s="4">
        <v>6.7629999999999999</v>
      </c>
      <c r="O364" s="4">
        <v>6.7629999999999999</v>
      </c>
      <c r="P364" s="4">
        <v>3</v>
      </c>
      <c r="Q364" s="3" t="s">
        <v>26</v>
      </c>
      <c r="R364" s="3">
        <v>0</v>
      </c>
      <c r="S364" s="3" t="s">
        <v>226</v>
      </c>
      <c r="T364" s="3" t="s">
        <v>363</v>
      </c>
      <c r="U364" s="3">
        <v>0</v>
      </c>
      <c r="V364" s="3">
        <v>20</v>
      </c>
      <c r="W364" s="3">
        <v>52</v>
      </c>
    </row>
    <row r="365" spans="1:23" ht="11.25" customHeight="1" x14ac:dyDescent="0.25">
      <c r="A365" s="3" t="s">
        <v>21</v>
      </c>
      <c r="B365" s="3" t="s">
        <v>40</v>
      </c>
      <c r="C365" s="3" t="s">
        <v>23</v>
      </c>
      <c r="D365" s="3" t="s">
        <v>41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44501</v>
      </c>
      <c r="J365" s="4">
        <v>0</v>
      </c>
      <c r="K365" s="4">
        <v>0</v>
      </c>
      <c r="L365" s="4">
        <v>299.173</v>
      </c>
      <c r="M365" s="4">
        <v>299.173</v>
      </c>
      <c r="N365" s="4">
        <v>299.173</v>
      </c>
      <c r="O365" s="4">
        <v>299.173</v>
      </c>
      <c r="P365" s="4">
        <v>407</v>
      </c>
      <c r="Q365" s="3" t="s">
        <v>26</v>
      </c>
      <c r="R365" s="3">
        <v>0</v>
      </c>
      <c r="S365" s="3" t="s">
        <v>227</v>
      </c>
      <c r="T365" s="3" t="s">
        <v>364</v>
      </c>
      <c r="U365" s="3">
        <v>0</v>
      </c>
      <c r="V365" s="3">
        <v>20</v>
      </c>
      <c r="W365" s="3">
        <v>52</v>
      </c>
    </row>
    <row r="366" spans="1:23" ht="11.25" customHeight="1" x14ac:dyDescent="0.25">
      <c r="A366" s="3" t="s">
        <v>27</v>
      </c>
      <c r="B366" s="3" t="s">
        <v>40</v>
      </c>
      <c r="C366" s="3" t="s">
        <v>23</v>
      </c>
      <c r="D366" s="3" t="s">
        <v>41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44501</v>
      </c>
      <c r="J366" s="4">
        <v>0</v>
      </c>
      <c r="K366" s="4">
        <v>0</v>
      </c>
      <c r="L366" s="4">
        <v>-3.1520000000000001</v>
      </c>
      <c r="M366" s="4">
        <v>-3.1520000000000001</v>
      </c>
      <c r="N366" s="4">
        <v>-3.1520000000000001</v>
      </c>
      <c r="O366" s="4">
        <v>-3.1520000000000001</v>
      </c>
      <c r="P366" s="4">
        <v>0</v>
      </c>
      <c r="Q366" s="3" t="s">
        <v>26</v>
      </c>
      <c r="R366" s="3">
        <v>0</v>
      </c>
      <c r="S366" s="3" t="s">
        <v>227</v>
      </c>
      <c r="T366" s="3" t="s">
        <v>364</v>
      </c>
      <c r="U366" s="3">
        <v>0</v>
      </c>
      <c r="V366" s="3">
        <v>20</v>
      </c>
      <c r="W366" s="3">
        <v>52</v>
      </c>
    </row>
    <row r="367" spans="1:23" ht="11.25" customHeight="1" x14ac:dyDescent="0.25">
      <c r="A367" s="3" t="s">
        <v>28</v>
      </c>
      <c r="B367" s="3" t="s">
        <v>40</v>
      </c>
      <c r="C367" s="3" t="s">
        <v>23</v>
      </c>
      <c r="D367" s="3" t="s">
        <v>41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44501</v>
      </c>
      <c r="J367" s="4">
        <v>0</v>
      </c>
      <c r="K367" s="4">
        <v>0</v>
      </c>
      <c r="L367" s="4">
        <v>5.84</v>
      </c>
      <c r="M367" s="4">
        <v>5.84</v>
      </c>
      <c r="N367" s="4">
        <v>5.84</v>
      </c>
      <c r="O367" s="4">
        <v>5.84</v>
      </c>
      <c r="P367" s="4">
        <v>3</v>
      </c>
      <c r="Q367" s="3" t="s">
        <v>26</v>
      </c>
      <c r="R367" s="3">
        <v>0</v>
      </c>
      <c r="S367" s="3" t="s">
        <v>227</v>
      </c>
      <c r="T367" s="3" t="s">
        <v>364</v>
      </c>
      <c r="U367" s="3">
        <v>0</v>
      </c>
      <c r="V367" s="3">
        <v>20</v>
      </c>
      <c r="W367" s="3">
        <v>52</v>
      </c>
    </row>
    <row r="368" spans="1:23" ht="11.25" customHeight="1" x14ac:dyDescent="0.25">
      <c r="A368" s="3" t="s">
        <v>21</v>
      </c>
      <c r="B368" s="3" t="s">
        <v>40</v>
      </c>
      <c r="C368" s="3" t="s">
        <v>23</v>
      </c>
      <c r="D368" s="3" t="s">
        <v>41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44531</v>
      </c>
      <c r="J368" s="4">
        <v>0</v>
      </c>
      <c r="K368" s="4">
        <v>0</v>
      </c>
      <c r="L368" s="4">
        <v>284.95699999999999</v>
      </c>
      <c r="M368" s="4">
        <v>284.95699999999999</v>
      </c>
      <c r="N368" s="4">
        <v>284.95699999999999</v>
      </c>
      <c r="O368" s="4">
        <v>284.95699999999999</v>
      </c>
      <c r="P368" s="4">
        <v>405</v>
      </c>
      <c r="Q368" s="3" t="s">
        <v>26</v>
      </c>
      <c r="R368" s="3">
        <v>0</v>
      </c>
      <c r="S368" s="3" t="s">
        <v>228</v>
      </c>
      <c r="T368" s="3" t="s">
        <v>365</v>
      </c>
      <c r="U368" s="3">
        <v>0</v>
      </c>
      <c r="V368" s="3">
        <v>20</v>
      </c>
      <c r="W368" s="3">
        <v>52</v>
      </c>
    </row>
    <row r="369" spans="1:23" ht="11.25" customHeight="1" x14ac:dyDescent="0.25">
      <c r="A369" s="3" t="s">
        <v>27</v>
      </c>
      <c r="B369" s="3" t="s">
        <v>40</v>
      </c>
      <c r="C369" s="3" t="s">
        <v>23</v>
      </c>
      <c r="D369" s="3" t="s">
        <v>41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44531</v>
      </c>
      <c r="J369" s="4">
        <v>0</v>
      </c>
      <c r="K369" s="4">
        <v>0</v>
      </c>
      <c r="L369" s="4">
        <v>-0.1</v>
      </c>
      <c r="M369" s="4">
        <v>-0.1</v>
      </c>
      <c r="N369" s="4">
        <v>-0.1</v>
      </c>
      <c r="O369" s="4">
        <v>-0.1</v>
      </c>
      <c r="P369" s="4">
        <v>0</v>
      </c>
      <c r="Q369" s="3" t="s">
        <v>26</v>
      </c>
      <c r="R369" s="3">
        <v>0</v>
      </c>
      <c r="S369" s="3" t="s">
        <v>228</v>
      </c>
      <c r="T369" s="3" t="s">
        <v>365</v>
      </c>
      <c r="U369" s="3">
        <v>0</v>
      </c>
      <c r="V369" s="3">
        <v>20</v>
      </c>
      <c r="W369" s="3">
        <v>52</v>
      </c>
    </row>
    <row r="370" spans="1:23" ht="11.25" customHeight="1" x14ac:dyDescent="0.25">
      <c r="A370" s="3" t="s">
        <v>28</v>
      </c>
      <c r="B370" s="3" t="s">
        <v>40</v>
      </c>
      <c r="C370" s="3" t="s">
        <v>23</v>
      </c>
      <c r="D370" s="3" t="s">
        <v>41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44531</v>
      </c>
      <c r="J370" s="4">
        <v>0</v>
      </c>
      <c r="K370" s="4">
        <v>0</v>
      </c>
      <c r="L370" s="4">
        <v>6.6379999999999999</v>
      </c>
      <c r="M370" s="4">
        <v>6.6379999999999999</v>
      </c>
      <c r="N370" s="4">
        <v>6.6379999999999999</v>
      </c>
      <c r="O370" s="4">
        <v>6.6379999999999999</v>
      </c>
      <c r="P370" s="4">
        <v>4</v>
      </c>
      <c r="Q370" s="3" t="s">
        <v>26</v>
      </c>
      <c r="R370" s="3">
        <v>0</v>
      </c>
      <c r="S370" s="3" t="s">
        <v>228</v>
      </c>
      <c r="T370" s="3" t="s">
        <v>365</v>
      </c>
      <c r="U370" s="3">
        <v>0</v>
      </c>
      <c r="V370" s="3">
        <v>20</v>
      </c>
      <c r="W370" s="3">
        <v>52</v>
      </c>
    </row>
    <row r="371" spans="1:23" ht="11.25" customHeight="1" x14ac:dyDescent="0.25">
      <c r="A371" s="3" t="s">
        <v>21</v>
      </c>
      <c r="B371" s="3" t="s">
        <v>40</v>
      </c>
      <c r="C371" s="3" t="s">
        <v>23</v>
      </c>
      <c r="D371" s="3" t="s">
        <v>41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44562</v>
      </c>
      <c r="J371" s="4">
        <v>0</v>
      </c>
      <c r="K371" s="4">
        <v>0</v>
      </c>
      <c r="L371" s="4">
        <v>271.41300000000001</v>
      </c>
      <c r="M371" s="4">
        <v>271.41300000000001</v>
      </c>
      <c r="N371" s="4">
        <v>271.41300000000001</v>
      </c>
      <c r="O371" s="4">
        <v>271.41300000000001</v>
      </c>
      <c r="P371" s="4">
        <v>402</v>
      </c>
      <c r="Q371" s="3" t="s">
        <v>26</v>
      </c>
      <c r="R371" s="3">
        <v>0</v>
      </c>
      <c r="S371" s="3" t="s">
        <v>229</v>
      </c>
      <c r="T371" s="3" t="s">
        <v>366</v>
      </c>
      <c r="U371" s="3">
        <v>0</v>
      </c>
      <c r="V371" s="3">
        <v>20</v>
      </c>
      <c r="W371" s="3">
        <v>52</v>
      </c>
    </row>
    <row r="372" spans="1:23" ht="11.25" customHeight="1" x14ac:dyDescent="0.25">
      <c r="A372" s="3" t="s">
        <v>27</v>
      </c>
      <c r="B372" s="3" t="s">
        <v>40</v>
      </c>
      <c r="C372" s="3" t="s">
        <v>23</v>
      </c>
      <c r="D372" s="3" t="s">
        <v>41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44562</v>
      </c>
      <c r="J372" s="4">
        <v>0</v>
      </c>
      <c r="K372" s="4">
        <v>0</v>
      </c>
      <c r="L372" s="4">
        <v>-0.58099999999999996</v>
      </c>
      <c r="M372" s="4">
        <v>-0.58099999999999996</v>
      </c>
      <c r="N372" s="4">
        <v>-0.58099999999999996</v>
      </c>
      <c r="O372" s="4">
        <v>-0.58099999999999996</v>
      </c>
      <c r="P372" s="4">
        <v>0</v>
      </c>
      <c r="Q372" s="3" t="s">
        <v>26</v>
      </c>
      <c r="R372" s="3">
        <v>0</v>
      </c>
      <c r="S372" s="3" t="s">
        <v>229</v>
      </c>
      <c r="T372" s="3" t="s">
        <v>366</v>
      </c>
      <c r="U372" s="3">
        <v>0</v>
      </c>
      <c r="V372" s="3">
        <v>20</v>
      </c>
      <c r="W372" s="3">
        <v>52</v>
      </c>
    </row>
    <row r="373" spans="1:23" ht="11.25" customHeight="1" x14ac:dyDescent="0.25">
      <c r="A373" s="3" t="s">
        <v>28</v>
      </c>
      <c r="B373" s="3" t="s">
        <v>40</v>
      </c>
      <c r="C373" s="3" t="s">
        <v>23</v>
      </c>
      <c r="D373" s="3" t="s">
        <v>41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44562</v>
      </c>
      <c r="J373" s="4">
        <v>0</v>
      </c>
      <c r="K373" s="4">
        <v>0</v>
      </c>
      <c r="L373" s="4">
        <v>8.0129999999999999</v>
      </c>
      <c r="M373" s="4">
        <v>8.0129999999999999</v>
      </c>
      <c r="N373" s="4">
        <v>8.0129999999999999</v>
      </c>
      <c r="O373" s="4">
        <v>8.0129999999999999</v>
      </c>
      <c r="P373" s="4">
        <v>5</v>
      </c>
      <c r="Q373" s="3" t="s">
        <v>26</v>
      </c>
      <c r="R373" s="3">
        <v>0</v>
      </c>
      <c r="S373" s="3" t="s">
        <v>229</v>
      </c>
      <c r="T373" s="3" t="s">
        <v>366</v>
      </c>
      <c r="U373" s="3">
        <v>0</v>
      </c>
      <c r="V373" s="3">
        <v>20</v>
      </c>
      <c r="W373" s="3">
        <v>52</v>
      </c>
    </row>
    <row r="374" spans="1:23" ht="11.25" customHeight="1" x14ac:dyDescent="0.25">
      <c r="A374" s="3" t="s">
        <v>21</v>
      </c>
      <c r="B374" s="3" t="s">
        <v>40</v>
      </c>
      <c r="C374" s="3" t="s">
        <v>23</v>
      </c>
      <c r="D374" s="3" t="s">
        <v>41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44593</v>
      </c>
      <c r="J374" s="4">
        <v>0</v>
      </c>
      <c r="K374" s="4">
        <v>0</v>
      </c>
      <c r="L374" s="4">
        <v>282.45800000000003</v>
      </c>
      <c r="M374" s="4">
        <v>282.45800000000003</v>
      </c>
      <c r="N374" s="4">
        <v>282.45800000000003</v>
      </c>
      <c r="O374" s="4">
        <v>282.45800000000003</v>
      </c>
      <c r="P374" s="4">
        <v>401</v>
      </c>
      <c r="Q374" s="3" t="s">
        <v>26</v>
      </c>
      <c r="R374" s="3">
        <v>0</v>
      </c>
      <c r="S374" s="3" t="s">
        <v>230</v>
      </c>
      <c r="T374" s="3" t="s">
        <v>367</v>
      </c>
      <c r="U374" s="3">
        <v>0</v>
      </c>
      <c r="V374" s="3">
        <v>20</v>
      </c>
      <c r="W374" s="3">
        <v>52</v>
      </c>
    </row>
    <row r="375" spans="1:23" ht="11.25" customHeight="1" x14ac:dyDescent="0.25">
      <c r="A375" s="3" t="s">
        <v>28</v>
      </c>
      <c r="B375" s="3" t="s">
        <v>40</v>
      </c>
      <c r="C375" s="3" t="s">
        <v>23</v>
      </c>
      <c r="D375" s="3" t="s">
        <v>41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44593</v>
      </c>
      <c r="J375" s="4">
        <v>0</v>
      </c>
      <c r="K375" s="4">
        <v>0</v>
      </c>
      <c r="L375" s="4">
        <v>5.6319999999999997</v>
      </c>
      <c r="M375" s="4">
        <v>5.6319999999999997</v>
      </c>
      <c r="N375" s="4">
        <v>5.6319999999999997</v>
      </c>
      <c r="O375" s="4">
        <v>5.6319999999999997</v>
      </c>
      <c r="P375" s="4">
        <v>5</v>
      </c>
      <c r="Q375" s="3" t="s">
        <v>26</v>
      </c>
      <c r="R375" s="3">
        <v>0</v>
      </c>
      <c r="S375" s="3" t="s">
        <v>230</v>
      </c>
      <c r="T375" s="3" t="s">
        <v>367</v>
      </c>
      <c r="U375" s="3">
        <v>0</v>
      </c>
      <c r="V375" s="3">
        <v>20</v>
      </c>
      <c r="W375" s="3">
        <v>52</v>
      </c>
    </row>
    <row r="376" spans="1:23" ht="11.25" customHeight="1" x14ac:dyDescent="0.25">
      <c r="A376" s="3" t="s">
        <v>21</v>
      </c>
      <c r="B376" s="3" t="s">
        <v>40</v>
      </c>
      <c r="C376" s="3" t="s">
        <v>23</v>
      </c>
      <c r="D376" s="3" t="s">
        <v>41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44621</v>
      </c>
      <c r="J376" s="4">
        <v>0</v>
      </c>
      <c r="K376" s="4">
        <v>0</v>
      </c>
      <c r="L376" s="4">
        <v>271.971</v>
      </c>
      <c r="M376" s="4">
        <v>271.971</v>
      </c>
      <c r="N376" s="4">
        <v>271.971</v>
      </c>
      <c r="O376" s="4">
        <v>271.971</v>
      </c>
      <c r="P376" s="4">
        <v>403</v>
      </c>
      <c r="Q376" s="3" t="s">
        <v>26</v>
      </c>
      <c r="R376" s="3">
        <v>0</v>
      </c>
      <c r="S376" s="3" t="s">
        <v>231</v>
      </c>
      <c r="T376" s="3" t="s">
        <v>368</v>
      </c>
      <c r="U376" s="3">
        <v>0</v>
      </c>
      <c r="V376" s="3">
        <v>20</v>
      </c>
      <c r="W376" s="3">
        <v>52</v>
      </c>
    </row>
    <row r="377" spans="1:23" ht="11.25" customHeight="1" x14ac:dyDescent="0.25">
      <c r="A377" s="3" t="s">
        <v>28</v>
      </c>
      <c r="B377" s="3" t="s">
        <v>40</v>
      </c>
      <c r="C377" s="3" t="s">
        <v>23</v>
      </c>
      <c r="D377" s="3" t="s">
        <v>41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44621</v>
      </c>
      <c r="J377" s="4">
        <v>0</v>
      </c>
      <c r="K377" s="4">
        <v>0</v>
      </c>
      <c r="L377" s="4">
        <v>9.7609999999999992</v>
      </c>
      <c r="M377" s="4">
        <v>9.7609999999999992</v>
      </c>
      <c r="N377" s="4">
        <v>9.7609999999999992</v>
      </c>
      <c r="O377" s="4">
        <v>9.7609999999999992</v>
      </c>
      <c r="P377" s="4">
        <v>5</v>
      </c>
      <c r="Q377" s="3" t="s">
        <v>26</v>
      </c>
      <c r="R377" s="3">
        <v>0</v>
      </c>
      <c r="S377" s="3" t="s">
        <v>231</v>
      </c>
      <c r="T377" s="3" t="s">
        <v>368</v>
      </c>
      <c r="U377" s="3">
        <v>0</v>
      </c>
      <c r="V377" s="3">
        <v>20</v>
      </c>
      <c r="W377" s="3">
        <v>52</v>
      </c>
    </row>
    <row r="378" spans="1:23" ht="11.25" customHeight="1" x14ac:dyDescent="0.25">
      <c r="A378" s="3" t="s">
        <v>21</v>
      </c>
      <c r="B378" s="3" t="s">
        <v>40</v>
      </c>
      <c r="C378" s="3" t="s">
        <v>23</v>
      </c>
      <c r="D378" s="3" t="s">
        <v>41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44652</v>
      </c>
      <c r="J378" s="4">
        <v>0</v>
      </c>
      <c r="K378" s="4">
        <v>0</v>
      </c>
      <c r="L378" s="4">
        <v>260.178</v>
      </c>
      <c r="M378" s="4">
        <v>260.178</v>
      </c>
      <c r="N378" s="4">
        <v>260.178</v>
      </c>
      <c r="O378" s="4">
        <v>260.178</v>
      </c>
      <c r="P378" s="4">
        <v>401</v>
      </c>
      <c r="Q378" s="3" t="s">
        <v>26</v>
      </c>
      <c r="R378" s="3">
        <v>0</v>
      </c>
      <c r="S378" s="3" t="s">
        <v>232</v>
      </c>
      <c r="T378" s="3" t="s">
        <v>369</v>
      </c>
      <c r="U378" s="3">
        <v>0</v>
      </c>
      <c r="V378" s="3">
        <v>20</v>
      </c>
      <c r="W378" s="3">
        <v>52</v>
      </c>
    </row>
    <row r="379" spans="1:23" ht="11.25" customHeight="1" x14ac:dyDescent="0.25">
      <c r="A379" s="3" t="s">
        <v>28</v>
      </c>
      <c r="B379" s="3" t="s">
        <v>40</v>
      </c>
      <c r="C379" s="3" t="s">
        <v>23</v>
      </c>
      <c r="D379" s="3" t="s">
        <v>41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44652</v>
      </c>
      <c r="J379" s="4">
        <v>0</v>
      </c>
      <c r="K379" s="4">
        <v>0</v>
      </c>
      <c r="L379" s="4">
        <v>7.2590000000000003</v>
      </c>
      <c r="M379" s="4">
        <v>7.2590000000000003</v>
      </c>
      <c r="N379" s="4">
        <v>7.2590000000000003</v>
      </c>
      <c r="O379" s="4">
        <v>7.2590000000000003</v>
      </c>
      <c r="P379" s="4">
        <v>5</v>
      </c>
      <c r="Q379" s="3" t="s">
        <v>26</v>
      </c>
      <c r="R379" s="3">
        <v>0</v>
      </c>
      <c r="S379" s="3" t="s">
        <v>232</v>
      </c>
      <c r="T379" s="3" t="s">
        <v>369</v>
      </c>
      <c r="U379" s="3">
        <v>0</v>
      </c>
      <c r="V379" s="3">
        <v>20</v>
      </c>
      <c r="W379" s="3">
        <v>52</v>
      </c>
    </row>
    <row r="380" spans="1:23" ht="11.25" customHeight="1" x14ac:dyDescent="0.25">
      <c r="A380" s="3" t="s">
        <v>21</v>
      </c>
      <c r="B380" s="3" t="s">
        <v>40</v>
      </c>
      <c r="C380" s="3" t="s">
        <v>23</v>
      </c>
      <c r="D380" s="3" t="s">
        <v>41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44682</v>
      </c>
      <c r="J380" s="4">
        <v>0</v>
      </c>
      <c r="K380" s="4">
        <v>0</v>
      </c>
      <c r="L380" s="4">
        <v>290.74700000000001</v>
      </c>
      <c r="M380" s="4">
        <v>290.74700000000001</v>
      </c>
      <c r="N380" s="4">
        <v>290.74700000000001</v>
      </c>
      <c r="O380" s="4">
        <v>290.74700000000001</v>
      </c>
      <c r="P380" s="4">
        <v>400</v>
      </c>
      <c r="Q380" s="3" t="s">
        <v>26</v>
      </c>
      <c r="R380" s="3">
        <v>0</v>
      </c>
      <c r="S380" s="3" t="s">
        <v>233</v>
      </c>
      <c r="T380" s="3" t="s">
        <v>370</v>
      </c>
      <c r="U380" s="3">
        <v>0</v>
      </c>
      <c r="V380" s="3">
        <v>20</v>
      </c>
      <c r="W380" s="3">
        <v>52</v>
      </c>
    </row>
    <row r="381" spans="1:23" ht="11.25" customHeight="1" x14ac:dyDescent="0.25">
      <c r="A381" s="3" t="s">
        <v>28</v>
      </c>
      <c r="B381" s="3" t="s">
        <v>40</v>
      </c>
      <c r="C381" s="3" t="s">
        <v>23</v>
      </c>
      <c r="D381" s="3" t="s">
        <v>41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44682</v>
      </c>
      <c r="J381" s="4">
        <v>0</v>
      </c>
      <c r="K381" s="4">
        <v>0</v>
      </c>
      <c r="L381" s="4">
        <v>7.97</v>
      </c>
      <c r="M381" s="4">
        <v>7.97</v>
      </c>
      <c r="N381" s="4">
        <v>7.97</v>
      </c>
      <c r="O381" s="4">
        <v>7.97</v>
      </c>
      <c r="P381" s="4">
        <v>6</v>
      </c>
      <c r="Q381" s="3" t="s">
        <v>26</v>
      </c>
      <c r="R381" s="3">
        <v>0</v>
      </c>
      <c r="S381" s="3" t="s">
        <v>233</v>
      </c>
      <c r="T381" s="3" t="s">
        <v>370</v>
      </c>
      <c r="U381" s="3">
        <v>0</v>
      </c>
      <c r="V381" s="3">
        <v>20</v>
      </c>
      <c r="W381" s="3">
        <v>52</v>
      </c>
    </row>
    <row r="382" spans="1:23" ht="11.25" customHeight="1" x14ac:dyDescent="0.25">
      <c r="A382" s="3" t="s">
        <v>21</v>
      </c>
      <c r="B382" s="3" t="s">
        <v>40</v>
      </c>
      <c r="C382" s="3" t="s">
        <v>23</v>
      </c>
      <c r="D382" s="3" t="s">
        <v>41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250.00200000000001</v>
      </c>
      <c r="M382" s="4">
        <v>250.00200000000001</v>
      </c>
      <c r="N382" s="4">
        <v>250.00200000000001</v>
      </c>
      <c r="O382" s="4">
        <v>250.00200000000001</v>
      </c>
      <c r="P382" s="4">
        <v>401</v>
      </c>
      <c r="Q382" s="3" t="s">
        <v>26</v>
      </c>
      <c r="R382" s="3">
        <v>0</v>
      </c>
      <c r="S382" s="3" t="s">
        <v>234</v>
      </c>
      <c r="T382" s="3" t="s">
        <v>371</v>
      </c>
      <c r="U382" s="3">
        <v>0</v>
      </c>
      <c r="V382" s="3">
        <v>20</v>
      </c>
      <c r="W382" s="3">
        <v>52</v>
      </c>
    </row>
    <row r="383" spans="1:23" ht="11.25" customHeight="1" x14ac:dyDescent="0.25">
      <c r="A383" s="3" t="s">
        <v>28</v>
      </c>
      <c r="B383" s="3" t="s">
        <v>40</v>
      </c>
      <c r="C383" s="3" t="s">
        <v>23</v>
      </c>
      <c r="D383" s="3" t="s">
        <v>41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44713</v>
      </c>
      <c r="J383" s="4">
        <v>0</v>
      </c>
      <c r="K383" s="4">
        <v>0</v>
      </c>
      <c r="L383" s="4">
        <v>12.179</v>
      </c>
      <c r="M383" s="4">
        <v>12.179</v>
      </c>
      <c r="N383" s="4">
        <v>12.179</v>
      </c>
      <c r="O383" s="4">
        <v>12.179</v>
      </c>
      <c r="P383" s="4">
        <v>8</v>
      </c>
      <c r="Q383" s="3" t="s">
        <v>26</v>
      </c>
      <c r="R383" s="3">
        <v>0</v>
      </c>
      <c r="S383" s="3" t="s">
        <v>234</v>
      </c>
      <c r="T383" s="3" t="s">
        <v>371</v>
      </c>
      <c r="U383" s="3">
        <v>0</v>
      </c>
      <c r="V383" s="3">
        <v>20</v>
      </c>
      <c r="W383" s="3">
        <v>52</v>
      </c>
    </row>
    <row r="384" spans="1:23" ht="11.25" customHeight="1" x14ac:dyDescent="0.25">
      <c r="A384" s="3" t="s">
        <v>21</v>
      </c>
      <c r="B384" s="3" t="s">
        <v>40</v>
      </c>
      <c r="C384" s="3" t="s">
        <v>23</v>
      </c>
      <c r="D384" s="3" t="s">
        <v>41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44743</v>
      </c>
      <c r="J384" s="4">
        <v>0</v>
      </c>
      <c r="K384" s="4">
        <v>0</v>
      </c>
      <c r="L384" s="4">
        <v>219.17400000000001</v>
      </c>
      <c r="M384" s="4">
        <v>219.17400000000001</v>
      </c>
      <c r="N384" s="4">
        <v>219.17400000000001</v>
      </c>
      <c r="O384" s="4">
        <v>219.17400000000001</v>
      </c>
      <c r="P384" s="4">
        <v>347</v>
      </c>
      <c r="Q384" s="3" t="s">
        <v>26</v>
      </c>
      <c r="R384" s="3">
        <v>0</v>
      </c>
      <c r="S384" s="3" t="s">
        <v>235</v>
      </c>
      <c r="T384" s="3" t="s">
        <v>372</v>
      </c>
      <c r="U384" s="3">
        <v>0</v>
      </c>
      <c r="V384" s="3">
        <v>20</v>
      </c>
      <c r="W384" s="3">
        <v>52</v>
      </c>
    </row>
    <row r="385" spans="1:23" ht="11.25" customHeight="1" x14ac:dyDescent="0.25">
      <c r="A385" s="3" t="s">
        <v>28</v>
      </c>
      <c r="B385" s="3" t="s">
        <v>40</v>
      </c>
      <c r="C385" s="3" t="s">
        <v>23</v>
      </c>
      <c r="D385" s="3" t="s">
        <v>41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44743</v>
      </c>
      <c r="J385" s="4">
        <v>0</v>
      </c>
      <c r="K385" s="4">
        <v>0</v>
      </c>
      <c r="L385" s="4">
        <v>10.712999999999999</v>
      </c>
      <c r="M385" s="4">
        <v>10.712999999999999</v>
      </c>
      <c r="N385" s="4">
        <v>10.712999999999999</v>
      </c>
      <c r="O385" s="4">
        <v>10.712999999999999</v>
      </c>
      <c r="P385" s="4">
        <v>8</v>
      </c>
      <c r="Q385" s="3" t="s">
        <v>26</v>
      </c>
      <c r="R385" s="3">
        <v>0</v>
      </c>
      <c r="S385" s="3" t="s">
        <v>235</v>
      </c>
      <c r="T385" s="3" t="s">
        <v>372</v>
      </c>
      <c r="U385" s="3">
        <v>0</v>
      </c>
      <c r="V385" s="3">
        <v>20</v>
      </c>
      <c r="W385" s="3">
        <v>52</v>
      </c>
    </row>
    <row r="386" spans="1:23" ht="11.25" customHeight="1" x14ac:dyDescent="0.25">
      <c r="A386" s="3" t="s">
        <v>21</v>
      </c>
      <c r="B386" s="3" t="s">
        <v>40</v>
      </c>
      <c r="C386" s="3" t="s">
        <v>23</v>
      </c>
      <c r="D386" s="3" t="s">
        <v>41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44774</v>
      </c>
      <c r="J386" s="4">
        <v>0</v>
      </c>
      <c r="K386" s="4">
        <v>0</v>
      </c>
      <c r="L386" s="4">
        <v>224.46</v>
      </c>
      <c r="M386" s="4">
        <v>224.46</v>
      </c>
      <c r="N386" s="4">
        <v>224.46</v>
      </c>
      <c r="O386" s="4">
        <v>224.46</v>
      </c>
      <c r="P386" s="4">
        <v>349</v>
      </c>
      <c r="Q386" s="3" t="s">
        <v>26</v>
      </c>
      <c r="R386" s="3">
        <v>0</v>
      </c>
      <c r="S386" s="3" t="s">
        <v>236</v>
      </c>
      <c r="T386" s="3" t="s">
        <v>373</v>
      </c>
      <c r="U386" s="3">
        <v>0</v>
      </c>
      <c r="V386" s="3">
        <v>20</v>
      </c>
      <c r="W386" s="3">
        <v>52</v>
      </c>
    </row>
    <row r="387" spans="1:23" ht="11.25" customHeight="1" x14ac:dyDescent="0.25">
      <c r="A387" s="3" t="s">
        <v>28</v>
      </c>
      <c r="B387" s="3" t="s">
        <v>40</v>
      </c>
      <c r="C387" s="3" t="s">
        <v>23</v>
      </c>
      <c r="D387" s="3" t="s">
        <v>41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44774</v>
      </c>
      <c r="J387" s="4">
        <v>0</v>
      </c>
      <c r="K387" s="4">
        <v>0</v>
      </c>
      <c r="L387" s="4">
        <v>10.497</v>
      </c>
      <c r="M387" s="4">
        <v>10.497</v>
      </c>
      <c r="N387" s="4">
        <v>10.497</v>
      </c>
      <c r="O387" s="4">
        <v>10.497</v>
      </c>
      <c r="P387" s="4">
        <v>9</v>
      </c>
      <c r="Q387" s="3" t="s">
        <v>26</v>
      </c>
      <c r="R387" s="3">
        <v>0</v>
      </c>
      <c r="S387" s="3" t="s">
        <v>236</v>
      </c>
      <c r="T387" s="3" t="s">
        <v>373</v>
      </c>
      <c r="U387" s="3">
        <v>0</v>
      </c>
      <c r="V387" s="3">
        <v>20</v>
      </c>
      <c r="W387" s="3">
        <v>52</v>
      </c>
    </row>
    <row r="388" spans="1:23" ht="11.25" customHeight="1" x14ac:dyDescent="0.25">
      <c r="A388" s="3" t="s">
        <v>21</v>
      </c>
      <c r="B388" s="3" t="s">
        <v>33</v>
      </c>
      <c r="C388" s="3" t="s">
        <v>23</v>
      </c>
      <c r="D388" s="3" t="s">
        <v>39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44440</v>
      </c>
      <c r="J388" s="4">
        <v>0</v>
      </c>
      <c r="K388" s="4">
        <v>0</v>
      </c>
      <c r="L388" s="4">
        <v>118.773</v>
      </c>
      <c r="M388" s="4">
        <v>118.773</v>
      </c>
      <c r="N388" s="4">
        <v>118.773</v>
      </c>
      <c r="O388" s="4">
        <v>118.773</v>
      </c>
      <c r="P388" s="4">
        <v>124</v>
      </c>
      <c r="Q388" s="3" t="s">
        <v>26</v>
      </c>
      <c r="R388" s="3">
        <v>0</v>
      </c>
      <c r="S388" s="3" t="s">
        <v>237</v>
      </c>
      <c r="T388" s="3" t="s">
        <v>374</v>
      </c>
      <c r="U388" s="3">
        <v>0</v>
      </c>
      <c r="V388" s="3">
        <v>26</v>
      </c>
      <c r="W388" s="3">
        <v>81</v>
      </c>
    </row>
    <row r="389" spans="1:23" ht="11.25" customHeight="1" x14ac:dyDescent="0.25">
      <c r="A389" s="3" t="s">
        <v>28</v>
      </c>
      <c r="B389" s="3" t="s">
        <v>33</v>
      </c>
      <c r="C389" s="3" t="s">
        <v>23</v>
      </c>
      <c r="D389" s="3" t="s">
        <v>39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44440</v>
      </c>
      <c r="J389" s="4">
        <v>0</v>
      </c>
      <c r="K389" s="4">
        <v>0</v>
      </c>
      <c r="L389" s="4">
        <v>10.401</v>
      </c>
      <c r="M389" s="4">
        <v>10.401</v>
      </c>
      <c r="N389" s="4">
        <v>10.401</v>
      </c>
      <c r="O389" s="4">
        <v>10.401</v>
      </c>
      <c r="P389" s="4">
        <v>5</v>
      </c>
      <c r="Q389" s="3" t="s">
        <v>26</v>
      </c>
      <c r="R389" s="3">
        <v>0</v>
      </c>
      <c r="S389" s="3" t="s">
        <v>237</v>
      </c>
      <c r="T389" s="3" t="s">
        <v>374</v>
      </c>
      <c r="U389" s="3">
        <v>0</v>
      </c>
      <c r="V389" s="3">
        <v>26</v>
      </c>
      <c r="W389" s="3">
        <v>81</v>
      </c>
    </row>
    <row r="390" spans="1:23" ht="11.25" customHeight="1" x14ac:dyDescent="0.25">
      <c r="A390" s="3" t="s">
        <v>21</v>
      </c>
      <c r="B390" s="3" t="s">
        <v>33</v>
      </c>
      <c r="C390" s="3" t="s">
        <v>23</v>
      </c>
      <c r="D390" s="3" t="s">
        <v>39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44470</v>
      </c>
      <c r="J390" s="4">
        <v>0</v>
      </c>
      <c r="K390" s="4">
        <v>0</v>
      </c>
      <c r="L390" s="4">
        <v>122.55</v>
      </c>
      <c r="M390" s="4">
        <v>122.55</v>
      </c>
      <c r="N390" s="4">
        <v>122.55</v>
      </c>
      <c r="O390" s="4">
        <v>122.55</v>
      </c>
      <c r="P390" s="4">
        <v>125</v>
      </c>
      <c r="Q390" s="3" t="s">
        <v>26</v>
      </c>
      <c r="R390" s="3">
        <v>0</v>
      </c>
      <c r="S390" s="3" t="s">
        <v>238</v>
      </c>
      <c r="T390" s="3" t="s">
        <v>375</v>
      </c>
      <c r="U390" s="3">
        <v>0</v>
      </c>
      <c r="V390" s="3">
        <v>26</v>
      </c>
      <c r="W390" s="3">
        <v>81</v>
      </c>
    </row>
    <row r="391" spans="1:23" ht="11.25" customHeight="1" x14ac:dyDescent="0.25">
      <c r="A391" s="3" t="s">
        <v>28</v>
      </c>
      <c r="B391" s="3" t="s">
        <v>33</v>
      </c>
      <c r="C391" s="3" t="s">
        <v>23</v>
      </c>
      <c r="D391" s="3" t="s">
        <v>39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44470</v>
      </c>
      <c r="J391" s="4">
        <v>0</v>
      </c>
      <c r="K391" s="4">
        <v>0</v>
      </c>
      <c r="L391" s="4">
        <v>13.31</v>
      </c>
      <c r="M391" s="4">
        <v>13.31</v>
      </c>
      <c r="N391" s="4">
        <v>13.31</v>
      </c>
      <c r="O391" s="4">
        <v>13.31</v>
      </c>
      <c r="P391" s="4">
        <v>6</v>
      </c>
      <c r="Q391" s="3" t="s">
        <v>26</v>
      </c>
      <c r="R391" s="3">
        <v>0</v>
      </c>
      <c r="S391" s="3" t="s">
        <v>238</v>
      </c>
      <c r="T391" s="3" t="s">
        <v>375</v>
      </c>
      <c r="U391" s="3">
        <v>0</v>
      </c>
      <c r="V391" s="3">
        <v>26</v>
      </c>
      <c r="W391" s="3">
        <v>81</v>
      </c>
    </row>
    <row r="392" spans="1:23" ht="11.25" customHeight="1" x14ac:dyDescent="0.25">
      <c r="A392" s="3" t="s">
        <v>21</v>
      </c>
      <c r="B392" s="3" t="s">
        <v>33</v>
      </c>
      <c r="C392" s="3" t="s">
        <v>23</v>
      </c>
      <c r="D392" s="3" t="s">
        <v>39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44501</v>
      </c>
      <c r="J392" s="4">
        <v>0</v>
      </c>
      <c r="K392" s="4">
        <v>0</v>
      </c>
      <c r="L392" s="4">
        <v>148.524</v>
      </c>
      <c r="M392" s="4">
        <v>148.524</v>
      </c>
      <c r="N392" s="4">
        <v>148.524</v>
      </c>
      <c r="O392" s="4">
        <v>148.524</v>
      </c>
      <c r="P392" s="4">
        <v>125</v>
      </c>
      <c r="Q392" s="3" t="s">
        <v>26</v>
      </c>
      <c r="R392" s="3">
        <v>0</v>
      </c>
      <c r="S392" s="3" t="s">
        <v>239</v>
      </c>
      <c r="T392" s="3" t="s">
        <v>376</v>
      </c>
      <c r="U392" s="3">
        <v>0</v>
      </c>
      <c r="V392" s="3">
        <v>26</v>
      </c>
      <c r="W392" s="3">
        <v>81</v>
      </c>
    </row>
    <row r="393" spans="1:23" ht="11.25" customHeight="1" x14ac:dyDescent="0.25">
      <c r="A393" s="3" t="s">
        <v>28</v>
      </c>
      <c r="B393" s="3" t="s">
        <v>33</v>
      </c>
      <c r="C393" s="3" t="s">
        <v>23</v>
      </c>
      <c r="D393" s="3" t="s">
        <v>39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44501</v>
      </c>
      <c r="J393" s="4">
        <v>0</v>
      </c>
      <c r="K393" s="4">
        <v>0</v>
      </c>
      <c r="L393" s="4">
        <v>10.808999999999999</v>
      </c>
      <c r="M393" s="4">
        <v>10.808999999999999</v>
      </c>
      <c r="N393" s="4">
        <v>10.808999999999999</v>
      </c>
      <c r="O393" s="4">
        <v>10.808999999999999</v>
      </c>
      <c r="P393" s="4">
        <v>7</v>
      </c>
      <c r="Q393" s="3" t="s">
        <v>26</v>
      </c>
      <c r="R393" s="3">
        <v>0</v>
      </c>
      <c r="S393" s="3" t="s">
        <v>239</v>
      </c>
      <c r="T393" s="3" t="s">
        <v>376</v>
      </c>
      <c r="U393" s="3">
        <v>0</v>
      </c>
      <c r="V393" s="3">
        <v>26</v>
      </c>
      <c r="W393" s="3">
        <v>81</v>
      </c>
    </row>
    <row r="394" spans="1:23" ht="11.25" customHeight="1" x14ac:dyDescent="0.25">
      <c r="A394" s="3" t="s">
        <v>21</v>
      </c>
      <c r="B394" s="3" t="s">
        <v>33</v>
      </c>
      <c r="C394" s="3" t="s">
        <v>23</v>
      </c>
      <c r="D394" s="3" t="s">
        <v>39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44531</v>
      </c>
      <c r="J394" s="4">
        <v>0</v>
      </c>
      <c r="K394" s="4">
        <v>0</v>
      </c>
      <c r="L394" s="4">
        <v>139.43299999999999</v>
      </c>
      <c r="M394" s="4">
        <v>139.43299999999999</v>
      </c>
      <c r="N394" s="4">
        <v>139.43299999999999</v>
      </c>
      <c r="O394" s="4">
        <v>139.43299999999999</v>
      </c>
      <c r="P394" s="4">
        <v>126</v>
      </c>
      <c r="Q394" s="3" t="s">
        <v>26</v>
      </c>
      <c r="R394" s="3">
        <v>0</v>
      </c>
      <c r="S394" s="3" t="s">
        <v>240</v>
      </c>
      <c r="T394" s="3" t="s">
        <v>377</v>
      </c>
      <c r="U394" s="3">
        <v>0</v>
      </c>
      <c r="V394" s="3">
        <v>26</v>
      </c>
      <c r="W394" s="3">
        <v>81</v>
      </c>
    </row>
    <row r="395" spans="1:23" ht="11.25" customHeight="1" x14ac:dyDescent="0.25">
      <c r="A395" s="3" t="s">
        <v>28</v>
      </c>
      <c r="B395" s="3" t="s">
        <v>33</v>
      </c>
      <c r="C395" s="3" t="s">
        <v>23</v>
      </c>
      <c r="D395" s="3" t="s">
        <v>39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44531</v>
      </c>
      <c r="J395" s="4">
        <v>0</v>
      </c>
      <c r="K395" s="4">
        <v>0</v>
      </c>
      <c r="L395" s="4">
        <v>9.0350000000000001</v>
      </c>
      <c r="M395" s="4">
        <v>9.0350000000000001</v>
      </c>
      <c r="N395" s="4">
        <v>9.0350000000000001</v>
      </c>
      <c r="O395" s="4">
        <v>9.0350000000000001</v>
      </c>
      <c r="P395" s="4">
        <v>7</v>
      </c>
      <c r="Q395" s="3" t="s">
        <v>26</v>
      </c>
      <c r="R395" s="3">
        <v>0</v>
      </c>
      <c r="S395" s="3" t="s">
        <v>240</v>
      </c>
      <c r="T395" s="3" t="s">
        <v>377</v>
      </c>
      <c r="U395" s="3">
        <v>0</v>
      </c>
      <c r="V395" s="3">
        <v>26</v>
      </c>
      <c r="W395" s="3">
        <v>81</v>
      </c>
    </row>
    <row r="396" spans="1:23" ht="11.25" customHeight="1" x14ac:dyDescent="0.25">
      <c r="A396" s="3" t="s">
        <v>21</v>
      </c>
      <c r="B396" s="3" t="s">
        <v>33</v>
      </c>
      <c r="C396" s="3" t="s">
        <v>23</v>
      </c>
      <c r="D396" s="3" t="s">
        <v>39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44562</v>
      </c>
      <c r="J396" s="4">
        <v>0</v>
      </c>
      <c r="K396" s="4">
        <v>0</v>
      </c>
      <c r="L396" s="4">
        <v>117.601</v>
      </c>
      <c r="M396" s="4">
        <v>117.601</v>
      </c>
      <c r="N396" s="4">
        <v>117.601</v>
      </c>
      <c r="O396" s="4">
        <v>117.601</v>
      </c>
      <c r="P396" s="4">
        <v>125</v>
      </c>
      <c r="Q396" s="3" t="s">
        <v>26</v>
      </c>
      <c r="R396" s="3">
        <v>0</v>
      </c>
      <c r="S396" s="3" t="s">
        <v>241</v>
      </c>
      <c r="T396" s="3" t="s">
        <v>378</v>
      </c>
      <c r="U396" s="3">
        <v>0</v>
      </c>
      <c r="V396" s="3">
        <v>26</v>
      </c>
      <c r="W396" s="3">
        <v>81</v>
      </c>
    </row>
    <row r="397" spans="1:23" ht="11.25" customHeight="1" x14ac:dyDescent="0.25">
      <c r="A397" s="3" t="s">
        <v>28</v>
      </c>
      <c r="B397" s="3" t="s">
        <v>33</v>
      </c>
      <c r="C397" s="3" t="s">
        <v>23</v>
      </c>
      <c r="D397" s="3" t="s">
        <v>39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44562</v>
      </c>
      <c r="J397" s="4">
        <v>0</v>
      </c>
      <c r="K397" s="4">
        <v>0</v>
      </c>
      <c r="L397" s="4">
        <v>10.872</v>
      </c>
      <c r="M397" s="4">
        <v>10.872</v>
      </c>
      <c r="N397" s="4">
        <v>10.872</v>
      </c>
      <c r="O397" s="4">
        <v>10.872</v>
      </c>
      <c r="P397" s="4">
        <v>7</v>
      </c>
      <c r="Q397" s="3" t="s">
        <v>26</v>
      </c>
      <c r="R397" s="3">
        <v>0</v>
      </c>
      <c r="S397" s="3" t="s">
        <v>241</v>
      </c>
      <c r="T397" s="3" t="s">
        <v>378</v>
      </c>
      <c r="U397" s="3">
        <v>0</v>
      </c>
      <c r="V397" s="3">
        <v>26</v>
      </c>
      <c r="W397" s="3">
        <v>81</v>
      </c>
    </row>
    <row r="398" spans="1:23" ht="11.25" customHeight="1" x14ac:dyDescent="0.25">
      <c r="A398" s="3" t="s">
        <v>21</v>
      </c>
      <c r="B398" s="3" t="s">
        <v>33</v>
      </c>
      <c r="C398" s="3" t="s">
        <v>23</v>
      </c>
      <c r="D398" s="3" t="s">
        <v>39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44593</v>
      </c>
      <c r="J398" s="4">
        <v>0</v>
      </c>
      <c r="K398" s="4">
        <v>0</v>
      </c>
      <c r="L398" s="4">
        <v>127.312</v>
      </c>
      <c r="M398" s="4">
        <v>127.312</v>
      </c>
      <c r="N398" s="4">
        <v>127.312</v>
      </c>
      <c r="O398" s="4">
        <v>127.312</v>
      </c>
      <c r="P398" s="4">
        <v>124</v>
      </c>
      <c r="Q398" s="3" t="s">
        <v>26</v>
      </c>
      <c r="R398" s="3">
        <v>0</v>
      </c>
      <c r="S398" s="3" t="s">
        <v>242</v>
      </c>
      <c r="T398" s="3" t="s">
        <v>379</v>
      </c>
      <c r="U398" s="3">
        <v>0</v>
      </c>
      <c r="V398" s="3">
        <v>26</v>
      </c>
      <c r="W398" s="3">
        <v>81</v>
      </c>
    </row>
    <row r="399" spans="1:23" ht="11.25" customHeight="1" x14ac:dyDescent="0.25">
      <c r="A399" s="3" t="s">
        <v>28</v>
      </c>
      <c r="B399" s="3" t="s">
        <v>33</v>
      </c>
      <c r="C399" s="3" t="s">
        <v>23</v>
      </c>
      <c r="D399" s="3" t="s">
        <v>39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44593</v>
      </c>
      <c r="J399" s="4">
        <v>0</v>
      </c>
      <c r="K399" s="4">
        <v>0</v>
      </c>
      <c r="L399" s="4">
        <v>9.1359999999999992</v>
      </c>
      <c r="M399" s="4">
        <v>9.1359999999999992</v>
      </c>
      <c r="N399" s="4">
        <v>9.1359999999999992</v>
      </c>
      <c r="O399" s="4">
        <v>9.1359999999999992</v>
      </c>
      <c r="P399" s="4">
        <v>7</v>
      </c>
      <c r="Q399" s="3" t="s">
        <v>26</v>
      </c>
      <c r="R399" s="3">
        <v>0</v>
      </c>
      <c r="S399" s="3" t="s">
        <v>242</v>
      </c>
      <c r="T399" s="3" t="s">
        <v>379</v>
      </c>
      <c r="U399" s="3">
        <v>0</v>
      </c>
      <c r="V399" s="3">
        <v>26</v>
      </c>
      <c r="W399" s="3">
        <v>81</v>
      </c>
    </row>
    <row r="400" spans="1:23" ht="11.25" customHeight="1" x14ac:dyDescent="0.25">
      <c r="A400" s="3" t="s">
        <v>21</v>
      </c>
      <c r="B400" s="3" t="s">
        <v>33</v>
      </c>
      <c r="C400" s="3" t="s">
        <v>23</v>
      </c>
      <c r="D400" s="3" t="s">
        <v>39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44621</v>
      </c>
      <c r="J400" s="4">
        <v>0</v>
      </c>
      <c r="K400" s="4">
        <v>0</v>
      </c>
      <c r="L400" s="4">
        <v>122.499</v>
      </c>
      <c r="M400" s="4">
        <v>122.499</v>
      </c>
      <c r="N400" s="4">
        <v>122.499</v>
      </c>
      <c r="O400" s="4">
        <v>122.499</v>
      </c>
      <c r="P400" s="4">
        <v>124</v>
      </c>
      <c r="Q400" s="3" t="s">
        <v>26</v>
      </c>
      <c r="R400" s="3">
        <v>0</v>
      </c>
      <c r="S400" s="3" t="s">
        <v>243</v>
      </c>
      <c r="T400" s="3" t="s">
        <v>380</v>
      </c>
      <c r="U400" s="3">
        <v>0</v>
      </c>
      <c r="V400" s="3">
        <v>26</v>
      </c>
      <c r="W400" s="3">
        <v>81</v>
      </c>
    </row>
    <row r="401" spans="1:23" ht="11.25" customHeight="1" x14ac:dyDescent="0.25">
      <c r="A401" s="3" t="s">
        <v>28</v>
      </c>
      <c r="B401" s="3" t="s">
        <v>33</v>
      </c>
      <c r="C401" s="3" t="s">
        <v>23</v>
      </c>
      <c r="D401" s="3" t="s">
        <v>39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44621</v>
      </c>
      <c r="J401" s="4">
        <v>0</v>
      </c>
      <c r="K401" s="4">
        <v>0</v>
      </c>
      <c r="L401" s="4">
        <v>9.3260000000000005</v>
      </c>
      <c r="M401" s="4">
        <v>9.3260000000000005</v>
      </c>
      <c r="N401" s="4">
        <v>9.3260000000000005</v>
      </c>
      <c r="O401" s="4">
        <v>9.3260000000000005</v>
      </c>
      <c r="P401" s="4">
        <v>7</v>
      </c>
      <c r="Q401" s="3" t="s">
        <v>26</v>
      </c>
      <c r="R401" s="3">
        <v>0</v>
      </c>
      <c r="S401" s="3" t="s">
        <v>243</v>
      </c>
      <c r="T401" s="3" t="s">
        <v>380</v>
      </c>
      <c r="U401" s="3">
        <v>0</v>
      </c>
      <c r="V401" s="3">
        <v>26</v>
      </c>
      <c r="W401" s="3">
        <v>81</v>
      </c>
    </row>
    <row r="402" spans="1:23" ht="11.25" customHeight="1" x14ac:dyDescent="0.25">
      <c r="A402" s="3" t="s">
        <v>21</v>
      </c>
      <c r="B402" s="3" t="s">
        <v>33</v>
      </c>
      <c r="C402" s="3" t="s">
        <v>23</v>
      </c>
      <c r="D402" s="3" t="s">
        <v>39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44652</v>
      </c>
      <c r="J402" s="4">
        <v>0</v>
      </c>
      <c r="K402" s="4">
        <v>0</v>
      </c>
      <c r="L402" s="4">
        <v>124.28700000000001</v>
      </c>
      <c r="M402" s="4">
        <v>124.28700000000001</v>
      </c>
      <c r="N402" s="4">
        <v>124.28700000000001</v>
      </c>
      <c r="O402" s="4">
        <v>124.28700000000001</v>
      </c>
      <c r="P402" s="4">
        <v>126</v>
      </c>
      <c r="Q402" s="3" t="s">
        <v>26</v>
      </c>
      <c r="R402" s="3">
        <v>0</v>
      </c>
      <c r="S402" s="3" t="s">
        <v>244</v>
      </c>
      <c r="T402" s="3" t="s">
        <v>381</v>
      </c>
      <c r="U402" s="3">
        <v>0</v>
      </c>
      <c r="V402" s="3">
        <v>26</v>
      </c>
      <c r="W402" s="3">
        <v>81</v>
      </c>
    </row>
    <row r="403" spans="1:23" ht="11.25" customHeight="1" x14ac:dyDescent="0.25">
      <c r="A403" s="3" t="s">
        <v>28</v>
      </c>
      <c r="B403" s="3" t="s">
        <v>33</v>
      </c>
      <c r="C403" s="3" t="s">
        <v>23</v>
      </c>
      <c r="D403" s="3" t="s">
        <v>39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44652</v>
      </c>
      <c r="J403" s="4">
        <v>0</v>
      </c>
      <c r="K403" s="4">
        <v>0</v>
      </c>
      <c r="L403" s="4">
        <v>8.6940000000000008</v>
      </c>
      <c r="M403" s="4">
        <v>8.6940000000000008</v>
      </c>
      <c r="N403" s="4">
        <v>8.6940000000000008</v>
      </c>
      <c r="O403" s="4">
        <v>8.6940000000000008</v>
      </c>
      <c r="P403" s="4">
        <v>8</v>
      </c>
      <c r="Q403" s="3" t="s">
        <v>26</v>
      </c>
      <c r="R403" s="3">
        <v>0</v>
      </c>
      <c r="S403" s="3" t="s">
        <v>244</v>
      </c>
      <c r="T403" s="3" t="s">
        <v>381</v>
      </c>
      <c r="U403" s="3">
        <v>0</v>
      </c>
      <c r="V403" s="3">
        <v>26</v>
      </c>
      <c r="W403" s="3">
        <v>81</v>
      </c>
    </row>
    <row r="404" spans="1:23" ht="11.25" customHeight="1" x14ac:dyDescent="0.25">
      <c r="A404" s="3" t="s">
        <v>21</v>
      </c>
      <c r="B404" s="3" t="s">
        <v>33</v>
      </c>
      <c r="C404" s="3" t="s">
        <v>23</v>
      </c>
      <c r="D404" s="3" t="s">
        <v>39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44682</v>
      </c>
      <c r="J404" s="4">
        <v>0</v>
      </c>
      <c r="K404" s="4">
        <v>0</v>
      </c>
      <c r="L404" s="4">
        <v>116.154</v>
      </c>
      <c r="M404" s="4">
        <v>116.154</v>
      </c>
      <c r="N404" s="4">
        <v>116.154</v>
      </c>
      <c r="O404" s="4">
        <v>116.154</v>
      </c>
      <c r="P404" s="4">
        <v>126</v>
      </c>
      <c r="Q404" s="3" t="s">
        <v>26</v>
      </c>
      <c r="R404" s="3">
        <v>0</v>
      </c>
      <c r="S404" s="3" t="s">
        <v>245</v>
      </c>
      <c r="T404" s="3" t="s">
        <v>382</v>
      </c>
      <c r="U404" s="3">
        <v>0</v>
      </c>
      <c r="V404" s="3">
        <v>26</v>
      </c>
      <c r="W404" s="3">
        <v>81</v>
      </c>
    </row>
    <row r="405" spans="1:23" ht="11.25" customHeight="1" x14ac:dyDescent="0.25">
      <c r="A405" s="3" t="s">
        <v>28</v>
      </c>
      <c r="B405" s="3" t="s">
        <v>33</v>
      </c>
      <c r="C405" s="3" t="s">
        <v>23</v>
      </c>
      <c r="D405" s="3" t="s">
        <v>39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44682</v>
      </c>
      <c r="J405" s="4">
        <v>0</v>
      </c>
      <c r="K405" s="4">
        <v>0</v>
      </c>
      <c r="L405" s="4">
        <v>7.7889999999999997</v>
      </c>
      <c r="M405" s="4">
        <v>7.7889999999999997</v>
      </c>
      <c r="N405" s="4">
        <v>7.7889999999999997</v>
      </c>
      <c r="O405" s="4">
        <v>7.7889999999999997</v>
      </c>
      <c r="P405" s="4">
        <v>9</v>
      </c>
      <c r="Q405" s="3" t="s">
        <v>26</v>
      </c>
      <c r="R405" s="3">
        <v>0</v>
      </c>
      <c r="S405" s="3" t="s">
        <v>245</v>
      </c>
      <c r="T405" s="3" t="s">
        <v>382</v>
      </c>
      <c r="U405" s="3">
        <v>0</v>
      </c>
      <c r="V405" s="3">
        <v>26</v>
      </c>
      <c r="W405" s="3">
        <v>81</v>
      </c>
    </row>
    <row r="406" spans="1:23" ht="11.25" customHeight="1" x14ac:dyDescent="0.25">
      <c r="A406" s="3" t="s">
        <v>21</v>
      </c>
      <c r="B406" s="3" t="s">
        <v>33</v>
      </c>
      <c r="C406" s="3" t="s">
        <v>23</v>
      </c>
      <c r="D406" s="3" t="s">
        <v>39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105.501</v>
      </c>
      <c r="M406" s="4">
        <v>105.501</v>
      </c>
      <c r="N406" s="4">
        <v>105.501</v>
      </c>
      <c r="O406" s="4">
        <v>105.501</v>
      </c>
      <c r="P406" s="4">
        <v>126</v>
      </c>
      <c r="Q406" s="3" t="s">
        <v>26</v>
      </c>
      <c r="R406" s="3">
        <v>0</v>
      </c>
      <c r="S406" s="3" t="s">
        <v>246</v>
      </c>
      <c r="T406" s="3" t="s">
        <v>383</v>
      </c>
      <c r="U406" s="3">
        <v>0</v>
      </c>
      <c r="V406" s="3">
        <v>26</v>
      </c>
      <c r="W406" s="3">
        <v>81</v>
      </c>
    </row>
    <row r="407" spans="1:23" ht="11.25" customHeight="1" x14ac:dyDescent="0.25">
      <c r="A407" s="3" t="s">
        <v>28</v>
      </c>
      <c r="B407" s="3" t="s">
        <v>33</v>
      </c>
      <c r="C407" s="3" t="s">
        <v>23</v>
      </c>
      <c r="D407" s="3" t="s">
        <v>39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44713</v>
      </c>
      <c r="J407" s="4">
        <v>0</v>
      </c>
      <c r="K407" s="4">
        <v>0</v>
      </c>
      <c r="L407" s="4">
        <v>6.1449999999999996</v>
      </c>
      <c r="M407" s="4">
        <v>6.1449999999999996</v>
      </c>
      <c r="N407" s="4">
        <v>6.1449999999999996</v>
      </c>
      <c r="O407" s="4">
        <v>6.1449999999999996</v>
      </c>
      <c r="P407" s="4">
        <v>10</v>
      </c>
      <c r="Q407" s="3" t="s">
        <v>26</v>
      </c>
      <c r="R407" s="3">
        <v>0</v>
      </c>
      <c r="S407" s="3" t="s">
        <v>246</v>
      </c>
      <c r="T407" s="3" t="s">
        <v>383</v>
      </c>
      <c r="U407" s="3">
        <v>0</v>
      </c>
      <c r="V407" s="3">
        <v>26</v>
      </c>
      <c r="W407" s="3">
        <v>81</v>
      </c>
    </row>
    <row r="408" spans="1:23" ht="11.25" customHeight="1" x14ac:dyDescent="0.25">
      <c r="A408" s="3" t="s">
        <v>21</v>
      </c>
      <c r="B408" s="3" t="s">
        <v>33</v>
      </c>
      <c r="C408" s="3" t="s">
        <v>23</v>
      </c>
      <c r="D408" s="3" t="s">
        <v>39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44743</v>
      </c>
      <c r="J408" s="4">
        <v>0</v>
      </c>
      <c r="K408" s="4">
        <v>0</v>
      </c>
      <c r="L408" s="4">
        <v>107.13200000000001</v>
      </c>
      <c r="M408" s="4">
        <v>107.13200000000001</v>
      </c>
      <c r="N408" s="4">
        <v>107.13200000000001</v>
      </c>
      <c r="O408" s="4">
        <v>107.13200000000001</v>
      </c>
      <c r="P408" s="4">
        <v>125</v>
      </c>
      <c r="Q408" s="3" t="s">
        <v>26</v>
      </c>
      <c r="R408" s="3">
        <v>0</v>
      </c>
      <c r="S408" s="3" t="s">
        <v>247</v>
      </c>
      <c r="T408" s="3" t="s">
        <v>384</v>
      </c>
      <c r="U408" s="3">
        <v>0</v>
      </c>
      <c r="V408" s="3">
        <v>26</v>
      </c>
      <c r="W408" s="3">
        <v>81</v>
      </c>
    </row>
    <row r="409" spans="1:23" ht="11.25" customHeight="1" x14ac:dyDescent="0.25">
      <c r="A409" s="3" t="s">
        <v>28</v>
      </c>
      <c r="B409" s="3" t="s">
        <v>33</v>
      </c>
      <c r="C409" s="3" t="s">
        <v>23</v>
      </c>
      <c r="D409" s="3" t="s">
        <v>39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44743</v>
      </c>
      <c r="J409" s="4">
        <v>0</v>
      </c>
      <c r="K409" s="4">
        <v>0</v>
      </c>
      <c r="L409" s="4">
        <v>6.8979999999999997</v>
      </c>
      <c r="M409" s="4">
        <v>6.8979999999999997</v>
      </c>
      <c r="N409" s="4">
        <v>6.8979999999999997</v>
      </c>
      <c r="O409" s="4">
        <v>6.8979999999999997</v>
      </c>
      <c r="P409" s="4">
        <v>11</v>
      </c>
      <c r="Q409" s="3" t="s">
        <v>26</v>
      </c>
      <c r="R409" s="3">
        <v>0</v>
      </c>
      <c r="S409" s="3" t="s">
        <v>247</v>
      </c>
      <c r="T409" s="3" t="s">
        <v>384</v>
      </c>
      <c r="U409" s="3">
        <v>0</v>
      </c>
      <c r="V409" s="3">
        <v>26</v>
      </c>
      <c r="W409" s="3">
        <v>81</v>
      </c>
    </row>
    <row r="410" spans="1:23" ht="11.25" customHeight="1" x14ac:dyDescent="0.25">
      <c r="A410" s="3" t="s">
        <v>21</v>
      </c>
      <c r="B410" s="3" t="s">
        <v>33</v>
      </c>
      <c r="C410" s="3" t="s">
        <v>23</v>
      </c>
      <c r="D410" s="3" t="s">
        <v>39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44774</v>
      </c>
      <c r="J410" s="4">
        <v>0</v>
      </c>
      <c r="K410" s="4">
        <v>0</v>
      </c>
      <c r="L410" s="4">
        <v>153.51900000000001</v>
      </c>
      <c r="M410" s="4">
        <v>153.51900000000001</v>
      </c>
      <c r="N410" s="4">
        <v>153.51900000000001</v>
      </c>
      <c r="O410" s="4">
        <v>153.51900000000001</v>
      </c>
      <c r="P410" s="4">
        <v>126</v>
      </c>
      <c r="Q410" s="3" t="s">
        <v>26</v>
      </c>
      <c r="R410" s="3">
        <v>0</v>
      </c>
      <c r="S410" s="3" t="s">
        <v>248</v>
      </c>
      <c r="T410" s="3" t="s">
        <v>385</v>
      </c>
      <c r="U410" s="3">
        <v>0</v>
      </c>
      <c r="V410" s="3">
        <v>26</v>
      </c>
      <c r="W410" s="3">
        <v>81</v>
      </c>
    </row>
    <row r="411" spans="1:23" ht="11.25" customHeight="1" x14ac:dyDescent="0.25">
      <c r="A411" s="3" t="s">
        <v>28</v>
      </c>
      <c r="B411" s="3" t="s">
        <v>33</v>
      </c>
      <c r="C411" s="3" t="s">
        <v>23</v>
      </c>
      <c r="D411" s="3" t="s">
        <v>39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44774</v>
      </c>
      <c r="J411" s="4">
        <v>0</v>
      </c>
      <c r="K411" s="4">
        <v>0</v>
      </c>
      <c r="L411" s="4">
        <v>4.1189999999999998</v>
      </c>
      <c r="M411" s="4">
        <v>4.1189999999999998</v>
      </c>
      <c r="N411" s="4">
        <v>4.1189999999999998</v>
      </c>
      <c r="O411" s="4">
        <v>4.1189999999999998</v>
      </c>
      <c r="P411" s="4">
        <v>11</v>
      </c>
      <c r="Q411" s="3" t="s">
        <v>26</v>
      </c>
      <c r="R411" s="3">
        <v>0</v>
      </c>
      <c r="S411" s="3" t="s">
        <v>248</v>
      </c>
      <c r="T411" s="3" t="s">
        <v>385</v>
      </c>
      <c r="U411" s="3">
        <v>0</v>
      </c>
      <c r="V411" s="3">
        <v>26</v>
      </c>
      <c r="W411" s="3">
        <v>81</v>
      </c>
    </row>
    <row r="412" spans="1:23" ht="11.25" customHeight="1" x14ac:dyDescent="0.25">
      <c r="A412" s="3" t="s">
        <v>21</v>
      </c>
      <c r="B412" s="3" t="s">
        <v>33</v>
      </c>
      <c r="C412" s="3" t="s">
        <v>23</v>
      </c>
      <c r="D412" s="3" t="s">
        <v>49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44440</v>
      </c>
      <c r="J412" s="4">
        <v>0</v>
      </c>
      <c r="K412" s="4">
        <v>0</v>
      </c>
      <c r="L412" s="4">
        <v>0.1</v>
      </c>
      <c r="M412" s="4">
        <v>0.1</v>
      </c>
      <c r="N412" s="4">
        <v>0.1</v>
      </c>
      <c r="O412" s="4">
        <v>0.1</v>
      </c>
      <c r="P412" s="4">
        <v>1</v>
      </c>
      <c r="Q412" s="3" t="s">
        <v>26</v>
      </c>
      <c r="R412" s="3">
        <v>0</v>
      </c>
      <c r="S412" s="3" t="s">
        <v>237</v>
      </c>
      <c r="T412" s="3" t="s">
        <v>374</v>
      </c>
      <c r="U412" s="3">
        <v>0</v>
      </c>
      <c r="V412" s="3">
        <v>26</v>
      </c>
      <c r="W412" s="3">
        <v>81</v>
      </c>
    </row>
    <row r="413" spans="1:23" ht="11.25" customHeight="1" x14ac:dyDescent="0.25">
      <c r="A413" s="3" t="s">
        <v>28</v>
      </c>
      <c r="B413" s="3" t="s">
        <v>33</v>
      </c>
      <c r="C413" s="3" t="s">
        <v>23</v>
      </c>
      <c r="D413" s="3" t="s">
        <v>49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44440</v>
      </c>
      <c r="J413" s="4">
        <v>0</v>
      </c>
      <c r="K413" s="4">
        <v>0</v>
      </c>
      <c r="L413" s="4">
        <v>0.1</v>
      </c>
      <c r="M413" s="4">
        <v>0.1</v>
      </c>
      <c r="N413" s="4">
        <v>0.1</v>
      </c>
      <c r="O413" s="4">
        <v>0.1</v>
      </c>
      <c r="P413" s="4">
        <v>1</v>
      </c>
      <c r="Q413" s="3" t="s">
        <v>26</v>
      </c>
      <c r="R413" s="3">
        <v>0</v>
      </c>
      <c r="S413" s="3" t="s">
        <v>237</v>
      </c>
      <c r="T413" s="3" t="s">
        <v>374</v>
      </c>
      <c r="U413" s="3">
        <v>0</v>
      </c>
      <c r="V413" s="3">
        <v>26</v>
      </c>
      <c r="W413" s="3">
        <v>81</v>
      </c>
    </row>
    <row r="414" spans="1:23" ht="11.25" customHeight="1" x14ac:dyDescent="0.25">
      <c r="A414" s="3" t="s">
        <v>21</v>
      </c>
      <c r="B414" s="3" t="s">
        <v>33</v>
      </c>
      <c r="C414" s="3" t="s">
        <v>23</v>
      </c>
      <c r="D414" s="3" t="s">
        <v>49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44470</v>
      </c>
      <c r="J414" s="4">
        <v>0</v>
      </c>
      <c r="K414" s="4">
        <v>0</v>
      </c>
      <c r="L414" s="4">
        <v>0.1</v>
      </c>
      <c r="M414" s="4">
        <v>0.1</v>
      </c>
      <c r="N414" s="4">
        <v>0.1</v>
      </c>
      <c r="O414" s="4">
        <v>0.1</v>
      </c>
      <c r="P414" s="4">
        <v>1</v>
      </c>
      <c r="Q414" s="3" t="s">
        <v>26</v>
      </c>
      <c r="R414" s="3">
        <v>0</v>
      </c>
      <c r="S414" s="3" t="s">
        <v>238</v>
      </c>
      <c r="T414" s="3" t="s">
        <v>375</v>
      </c>
      <c r="U414" s="3">
        <v>0</v>
      </c>
      <c r="V414" s="3">
        <v>26</v>
      </c>
      <c r="W414" s="3">
        <v>81</v>
      </c>
    </row>
    <row r="415" spans="1:23" ht="11.25" customHeight="1" x14ac:dyDescent="0.25">
      <c r="A415" s="3" t="s">
        <v>28</v>
      </c>
      <c r="B415" s="3" t="s">
        <v>33</v>
      </c>
      <c r="C415" s="3" t="s">
        <v>23</v>
      </c>
      <c r="D415" s="3" t="s">
        <v>49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44470</v>
      </c>
      <c r="J415" s="4">
        <v>0</v>
      </c>
      <c r="K415" s="4">
        <v>0</v>
      </c>
      <c r="L415" s="4">
        <v>0.1</v>
      </c>
      <c r="M415" s="4">
        <v>0.1</v>
      </c>
      <c r="N415" s="4">
        <v>0.1</v>
      </c>
      <c r="O415" s="4">
        <v>0.1</v>
      </c>
      <c r="P415" s="4">
        <v>1</v>
      </c>
      <c r="Q415" s="3" t="s">
        <v>26</v>
      </c>
      <c r="R415" s="3">
        <v>0</v>
      </c>
      <c r="S415" s="3" t="s">
        <v>238</v>
      </c>
      <c r="T415" s="3" t="s">
        <v>375</v>
      </c>
      <c r="U415" s="3">
        <v>0</v>
      </c>
      <c r="V415" s="3">
        <v>26</v>
      </c>
      <c r="W415" s="3">
        <v>81</v>
      </c>
    </row>
    <row r="416" spans="1:23" ht="11.25" customHeight="1" x14ac:dyDescent="0.25">
      <c r="A416" s="3" t="s">
        <v>21</v>
      </c>
      <c r="B416" s="3" t="s">
        <v>33</v>
      </c>
      <c r="C416" s="3" t="s">
        <v>23</v>
      </c>
      <c r="D416" s="3" t="s">
        <v>49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44501</v>
      </c>
      <c r="J416" s="4">
        <v>0</v>
      </c>
      <c r="K416" s="4">
        <v>0</v>
      </c>
      <c r="L416" s="4">
        <v>0.1</v>
      </c>
      <c r="M416" s="4">
        <v>0.1</v>
      </c>
      <c r="N416" s="4">
        <v>0.1</v>
      </c>
      <c r="O416" s="4">
        <v>0.1</v>
      </c>
      <c r="P416" s="4">
        <v>1</v>
      </c>
      <c r="Q416" s="3" t="s">
        <v>26</v>
      </c>
      <c r="R416" s="3">
        <v>0</v>
      </c>
      <c r="S416" s="3" t="s">
        <v>239</v>
      </c>
      <c r="T416" s="3" t="s">
        <v>376</v>
      </c>
      <c r="U416" s="3">
        <v>0</v>
      </c>
      <c r="V416" s="3">
        <v>26</v>
      </c>
      <c r="W416" s="3">
        <v>81</v>
      </c>
    </row>
    <row r="417" spans="1:23" ht="11.25" customHeight="1" x14ac:dyDescent="0.25">
      <c r="A417" s="3" t="s">
        <v>28</v>
      </c>
      <c r="B417" s="3" t="s">
        <v>33</v>
      </c>
      <c r="C417" s="3" t="s">
        <v>23</v>
      </c>
      <c r="D417" s="3" t="s">
        <v>49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44501</v>
      </c>
      <c r="J417" s="4">
        <v>0</v>
      </c>
      <c r="K417" s="4">
        <v>0</v>
      </c>
      <c r="L417" s="4">
        <v>0.1</v>
      </c>
      <c r="M417" s="4">
        <v>0.1</v>
      </c>
      <c r="N417" s="4">
        <v>0.1</v>
      </c>
      <c r="O417" s="4">
        <v>0.1</v>
      </c>
      <c r="P417" s="4">
        <v>1</v>
      </c>
      <c r="Q417" s="3" t="s">
        <v>26</v>
      </c>
      <c r="R417" s="3">
        <v>0</v>
      </c>
      <c r="S417" s="3" t="s">
        <v>239</v>
      </c>
      <c r="T417" s="3" t="s">
        <v>376</v>
      </c>
      <c r="U417" s="3">
        <v>0</v>
      </c>
      <c r="V417" s="3">
        <v>26</v>
      </c>
      <c r="W417" s="3">
        <v>81</v>
      </c>
    </row>
    <row r="418" spans="1:23" ht="11.25" customHeight="1" x14ac:dyDescent="0.25">
      <c r="A418" s="3" t="s">
        <v>21</v>
      </c>
      <c r="B418" s="3" t="s">
        <v>33</v>
      </c>
      <c r="C418" s="3" t="s">
        <v>23</v>
      </c>
      <c r="D418" s="3" t="s">
        <v>49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44531</v>
      </c>
      <c r="J418" s="4">
        <v>0</v>
      </c>
      <c r="K418" s="4">
        <v>0</v>
      </c>
      <c r="L418" s="4">
        <v>0.1</v>
      </c>
      <c r="M418" s="4">
        <v>0.1</v>
      </c>
      <c r="N418" s="4">
        <v>0.1</v>
      </c>
      <c r="O418" s="4">
        <v>0.1</v>
      </c>
      <c r="P418" s="4">
        <v>1</v>
      </c>
      <c r="Q418" s="3" t="s">
        <v>26</v>
      </c>
      <c r="R418" s="3">
        <v>0</v>
      </c>
      <c r="S418" s="3" t="s">
        <v>240</v>
      </c>
      <c r="T418" s="3" t="s">
        <v>377</v>
      </c>
      <c r="U418" s="3">
        <v>0</v>
      </c>
      <c r="V418" s="3">
        <v>26</v>
      </c>
      <c r="W418" s="3">
        <v>81</v>
      </c>
    </row>
    <row r="419" spans="1:23" ht="11.25" customHeight="1" x14ac:dyDescent="0.25">
      <c r="A419" s="3" t="s">
        <v>28</v>
      </c>
      <c r="B419" s="3" t="s">
        <v>33</v>
      </c>
      <c r="C419" s="3" t="s">
        <v>23</v>
      </c>
      <c r="D419" s="3" t="s">
        <v>49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44531</v>
      </c>
      <c r="J419" s="4">
        <v>0</v>
      </c>
      <c r="K419" s="4">
        <v>0</v>
      </c>
      <c r="L419" s="4">
        <v>0.1</v>
      </c>
      <c r="M419" s="4">
        <v>0.1</v>
      </c>
      <c r="N419" s="4">
        <v>0.1</v>
      </c>
      <c r="O419" s="4">
        <v>0.1</v>
      </c>
      <c r="P419" s="4">
        <v>1</v>
      </c>
      <c r="Q419" s="3" t="s">
        <v>26</v>
      </c>
      <c r="R419" s="3">
        <v>0</v>
      </c>
      <c r="S419" s="3" t="s">
        <v>240</v>
      </c>
      <c r="T419" s="3" t="s">
        <v>377</v>
      </c>
      <c r="U419" s="3">
        <v>0</v>
      </c>
      <c r="V419" s="3">
        <v>26</v>
      </c>
      <c r="W419" s="3">
        <v>81</v>
      </c>
    </row>
    <row r="420" spans="1:23" ht="11.25" customHeight="1" x14ac:dyDescent="0.25">
      <c r="A420" s="3" t="s">
        <v>21</v>
      </c>
      <c r="B420" s="3" t="s">
        <v>33</v>
      </c>
      <c r="C420" s="3" t="s">
        <v>23</v>
      </c>
      <c r="D420" s="3" t="s">
        <v>49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44562</v>
      </c>
      <c r="J420" s="4">
        <v>0</v>
      </c>
      <c r="K420" s="4">
        <v>0</v>
      </c>
      <c r="L420" s="4">
        <v>0.1</v>
      </c>
      <c r="M420" s="4">
        <v>0.1</v>
      </c>
      <c r="N420" s="4">
        <v>0.1</v>
      </c>
      <c r="O420" s="4">
        <v>0.1</v>
      </c>
      <c r="P420" s="4">
        <v>1</v>
      </c>
      <c r="Q420" s="3" t="s">
        <v>26</v>
      </c>
      <c r="R420" s="3">
        <v>0</v>
      </c>
      <c r="S420" s="3" t="s">
        <v>241</v>
      </c>
      <c r="T420" s="3" t="s">
        <v>378</v>
      </c>
      <c r="U420" s="3">
        <v>0</v>
      </c>
      <c r="V420" s="3">
        <v>26</v>
      </c>
      <c r="W420" s="3">
        <v>81</v>
      </c>
    </row>
    <row r="421" spans="1:23" ht="11.25" customHeight="1" x14ac:dyDescent="0.25">
      <c r="A421" s="3" t="s">
        <v>28</v>
      </c>
      <c r="B421" s="3" t="s">
        <v>33</v>
      </c>
      <c r="C421" s="3" t="s">
        <v>23</v>
      </c>
      <c r="D421" s="3" t="s">
        <v>49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44562</v>
      </c>
      <c r="J421" s="4">
        <v>0</v>
      </c>
      <c r="K421" s="4">
        <v>0</v>
      </c>
      <c r="L421" s="4">
        <v>0.1</v>
      </c>
      <c r="M421" s="4">
        <v>0.1</v>
      </c>
      <c r="N421" s="4">
        <v>0.1</v>
      </c>
      <c r="O421" s="4">
        <v>0.1</v>
      </c>
      <c r="P421" s="4">
        <v>1</v>
      </c>
      <c r="Q421" s="3" t="s">
        <v>26</v>
      </c>
      <c r="R421" s="3">
        <v>0</v>
      </c>
      <c r="S421" s="3" t="s">
        <v>241</v>
      </c>
      <c r="T421" s="3" t="s">
        <v>378</v>
      </c>
      <c r="U421" s="3">
        <v>0</v>
      </c>
      <c r="V421" s="3">
        <v>26</v>
      </c>
      <c r="W421" s="3">
        <v>81</v>
      </c>
    </row>
    <row r="422" spans="1:23" ht="11.25" customHeight="1" x14ac:dyDescent="0.25">
      <c r="A422" s="3" t="s">
        <v>21</v>
      </c>
      <c r="B422" s="3" t="s">
        <v>33</v>
      </c>
      <c r="C422" s="3" t="s">
        <v>23</v>
      </c>
      <c r="D422" s="3" t="s">
        <v>49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44593</v>
      </c>
      <c r="J422" s="4">
        <v>0</v>
      </c>
      <c r="K422" s="4">
        <v>0</v>
      </c>
      <c r="L422" s="4">
        <v>0.1</v>
      </c>
      <c r="M422" s="4">
        <v>0.1</v>
      </c>
      <c r="N422" s="4">
        <v>0.1</v>
      </c>
      <c r="O422" s="4">
        <v>0.1</v>
      </c>
      <c r="P422" s="4">
        <v>1</v>
      </c>
      <c r="Q422" s="3" t="s">
        <v>26</v>
      </c>
      <c r="R422" s="3">
        <v>0</v>
      </c>
      <c r="S422" s="3" t="s">
        <v>242</v>
      </c>
      <c r="T422" s="3" t="s">
        <v>379</v>
      </c>
      <c r="U422" s="3">
        <v>0</v>
      </c>
      <c r="V422" s="3">
        <v>26</v>
      </c>
      <c r="W422" s="3">
        <v>81</v>
      </c>
    </row>
    <row r="423" spans="1:23" ht="11.25" customHeight="1" x14ac:dyDescent="0.25">
      <c r="A423" s="3" t="s">
        <v>28</v>
      </c>
      <c r="B423" s="3" t="s">
        <v>33</v>
      </c>
      <c r="C423" s="3" t="s">
        <v>23</v>
      </c>
      <c r="D423" s="3" t="s">
        <v>49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44593</v>
      </c>
      <c r="J423" s="4">
        <v>0</v>
      </c>
      <c r="K423" s="4">
        <v>0</v>
      </c>
      <c r="L423" s="4">
        <v>0.1</v>
      </c>
      <c r="M423" s="4">
        <v>0.1</v>
      </c>
      <c r="N423" s="4">
        <v>0.1</v>
      </c>
      <c r="O423" s="4">
        <v>0.1</v>
      </c>
      <c r="P423" s="4">
        <v>1</v>
      </c>
      <c r="Q423" s="3" t="s">
        <v>26</v>
      </c>
      <c r="R423" s="3">
        <v>0</v>
      </c>
      <c r="S423" s="3" t="s">
        <v>242</v>
      </c>
      <c r="T423" s="3" t="s">
        <v>379</v>
      </c>
      <c r="U423" s="3">
        <v>0</v>
      </c>
      <c r="V423" s="3">
        <v>26</v>
      </c>
      <c r="W423" s="3">
        <v>81</v>
      </c>
    </row>
    <row r="424" spans="1:23" ht="11.25" customHeight="1" x14ac:dyDescent="0.25">
      <c r="A424" s="3" t="s">
        <v>21</v>
      </c>
      <c r="B424" s="3" t="s">
        <v>33</v>
      </c>
      <c r="C424" s="3" t="s">
        <v>23</v>
      </c>
      <c r="D424" s="3" t="s">
        <v>49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44621</v>
      </c>
      <c r="J424" s="4">
        <v>0</v>
      </c>
      <c r="K424" s="4">
        <v>0</v>
      </c>
      <c r="L424" s="4">
        <v>0.1</v>
      </c>
      <c r="M424" s="4">
        <v>0.1</v>
      </c>
      <c r="N424" s="4">
        <v>0.1</v>
      </c>
      <c r="O424" s="4">
        <v>0.1</v>
      </c>
      <c r="P424" s="4">
        <v>1</v>
      </c>
      <c r="Q424" s="3" t="s">
        <v>26</v>
      </c>
      <c r="R424" s="3">
        <v>0</v>
      </c>
      <c r="S424" s="3" t="s">
        <v>243</v>
      </c>
      <c r="T424" s="3" t="s">
        <v>380</v>
      </c>
      <c r="U424" s="3">
        <v>0</v>
      </c>
      <c r="V424" s="3">
        <v>26</v>
      </c>
      <c r="W424" s="3">
        <v>81</v>
      </c>
    </row>
    <row r="425" spans="1:23" ht="11.25" customHeight="1" x14ac:dyDescent="0.25">
      <c r="A425" s="3" t="s">
        <v>28</v>
      </c>
      <c r="B425" s="3" t="s">
        <v>33</v>
      </c>
      <c r="C425" s="3" t="s">
        <v>23</v>
      </c>
      <c r="D425" s="3" t="s">
        <v>49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44621</v>
      </c>
      <c r="J425" s="4">
        <v>0</v>
      </c>
      <c r="K425" s="4">
        <v>0</v>
      </c>
      <c r="L425" s="4">
        <v>0.1</v>
      </c>
      <c r="M425" s="4">
        <v>0.1</v>
      </c>
      <c r="N425" s="4">
        <v>0.1</v>
      </c>
      <c r="O425" s="4">
        <v>0.1</v>
      </c>
      <c r="P425" s="4">
        <v>1</v>
      </c>
      <c r="Q425" s="3" t="s">
        <v>26</v>
      </c>
      <c r="R425" s="3">
        <v>0</v>
      </c>
      <c r="S425" s="3" t="s">
        <v>243</v>
      </c>
      <c r="T425" s="3" t="s">
        <v>380</v>
      </c>
      <c r="U425" s="3">
        <v>0</v>
      </c>
      <c r="V425" s="3">
        <v>26</v>
      </c>
      <c r="W425" s="3">
        <v>81</v>
      </c>
    </row>
    <row r="426" spans="1:23" ht="11.25" customHeight="1" x14ac:dyDescent="0.25">
      <c r="A426" s="3" t="s">
        <v>21</v>
      </c>
      <c r="B426" s="3" t="s">
        <v>33</v>
      </c>
      <c r="C426" s="3" t="s">
        <v>23</v>
      </c>
      <c r="D426" s="3" t="s">
        <v>49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44652</v>
      </c>
      <c r="J426" s="4">
        <v>0</v>
      </c>
      <c r="K426" s="4">
        <v>0</v>
      </c>
      <c r="L426" s="4">
        <v>0.1</v>
      </c>
      <c r="M426" s="4">
        <v>0.1</v>
      </c>
      <c r="N426" s="4">
        <v>0.1</v>
      </c>
      <c r="O426" s="4">
        <v>0.1</v>
      </c>
      <c r="P426" s="4">
        <v>1</v>
      </c>
      <c r="Q426" s="3" t="s">
        <v>26</v>
      </c>
      <c r="R426" s="3">
        <v>0</v>
      </c>
      <c r="S426" s="3" t="s">
        <v>244</v>
      </c>
      <c r="T426" s="3" t="s">
        <v>381</v>
      </c>
      <c r="U426" s="3">
        <v>0</v>
      </c>
      <c r="V426" s="3">
        <v>26</v>
      </c>
      <c r="W426" s="3">
        <v>81</v>
      </c>
    </row>
    <row r="427" spans="1:23" ht="11.25" customHeight="1" x14ac:dyDescent="0.25">
      <c r="A427" s="3" t="s">
        <v>28</v>
      </c>
      <c r="B427" s="3" t="s">
        <v>33</v>
      </c>
      <c r="C427" s="3" t="s">
        <v>23</v>
      </c>
      <c r="D427" s="3" t="s">
        <v>49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44652</v>
      </c>
      <c r="J427" s="4">
        <v>0</v>
      </c>
      <c r="K427" s="4">
        <v>0</v>
      </c>
      <c r="L427" s="4">
        <v>0.1</v>
      </c>
      <c r="M427" s="4">
        <v>0.1</v>
      </c>
      <c r="N427" s="4">
        <v>0.1</v>
      </c>
      <c r="O427" s="4">
        <v>0.1</v>
      </c>
      <c r="P427" s="4">
        <v>1</v>
      </c>
      <c r="Q427" s="3" t="s">
        <v>26</v>
      </c>
      <c r="R427" s="3">
        <v>0</v>
      </c>
      <c r="S427" s="3" t="s">
        <v>244</v>
      </c>
      <c r="T427" s="3" t="s">
        <v>381</v>
      </c>
      <c r="U427" s="3">
        <v>0</v>
      </c>
      <c r="V427" s="3">
        <v>26</v>
      </c>
      <c r="W427" s="3">
        <v>81</v>
      </c>
    </row>
    <row r="428" spans="1:23" ht="11.25" customHeight="1" x14ac:dyDescent="0.25">
      <c r="A428" s="3" t="s">
        <v>21</v>
      </c>
      <c r="B428" s="3" t="s">
        <v>33</v>
      </c>
      <c r="C428" s="3" t="s">
        <v>23</v>
      </c>
      <c r="D428" s="3" t="s">
        <v>49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44682</v>
      </c>
      <c r="J428" s="4">
        <v>0</v>
      </c>
      <c r="K428" s="4">
        <v>0</v>
      </c>
      <c r="L428" s="4">
        <v>0.1</v>
      </c>
      <c r="M428" s="4">
        <v>0.1</v>
      </c>
      <c r="N428" s="4">
        <v>0.1</v>
      </c>
      <c r="O428" s="4">
        <v>0.1</v>
      </c>
      <c r="P428" s="4">
        <v>1</v>
      </c>
      <c r="Q428" s="3" t="s">
        <v>26</v>
      </c>
      <c r="R428" s="3">
        <v>0</v>
      </c>
      <c r="S428" s="3" t="s">
        <v>245</v>
      </c>
      <c r="T428" s="3" t="s">
        <v>382</v>
      </c>
      <c r="U428" s="3">
        <v>0</v>
      </c>
      <c r="V428" s="3">
        <v>26</v>
      </c>
      <c r="W428" s="3">
        <v>81</v>
      </c>
    </row>
    <row r="429" spans="1:23" ht="11.25" customHeight="1" x14ac:dyDescent="0.25">
      <c r="A429" s="3" t="s">
        <v>28</v>
      </c>
      <c r="B429" s="3" t="s">
        <v>33</v>
      </c>
      <c r="C429" s="3" t="s">
        <v>23</v>
      </c>
      <c r="D429" s="3" t="s">
        <v>49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44682</v>
      </c>
      <c r="J429" s="4">
        <v>0</v>
      </c>
      <c r="K429" s="4">
        <v>0</v>
      </c>
      <c r="L429" s="4">
        <v>0.1</v>
      </c>
      <c r="M429" s="4">
        <v>0.1</v>
      </c>
      <c r="N429" s="4">
        <v>0.1</v>
      </c>
      <c r="O429" s="4">
        <v>0.1</v>
      </c>
      <c r="P429" s="4">
        <v>1</v>
      </c>
      <c r="Q429" s="3" t="s">
        <v>26</v>
      </c>
      <c r="R429" s="3">
        <v>0</v>
      </c>
      <c r="S429" s="3" t="s">
        <v>245</v>
      </c>
      <c r="T429" s="3" t="s">
        <v>382</v>
      </c>
      <c r="U429" s="3">
        <v>0</v>
      </c>
      <c r="V429" s="3">
        <v>26</v>
      </c>
      <c r="W429" s="3">
        <v>81</v>
      </c>
    </row>
    <row r="430" spans="1:23" ht="11.25" customHeight="1" x14ac:dyDescent="0.25">
      <c r="A430" s="3" t="s">
        <v>21</v>
      </c>
      <c r="B430" s="3" t="s">
        <v>33</v>
      </c>
      <c r="C430" s="3" t="s">
        <v>23</v>
      </c>
      <c r="D430" s="3" t="s">
        <v>49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44713</v>
      </c>
      <c r="J430" s="4">
        <v>0</v>
      </c>
      <c r="K430" s="4">
        <v>0</v>
      </c>
      <c r="L430" s="4">
        <v>0.1</v>
      </c>
      <c r="M430" s="4">
        <v>0.1</v>
      </c>
      <c r="N430" s="4">
        <v>0.1</v>
      </c>
      <c r="O430" s="4">
        <v>0.1</v>
      </c>
      <c r="P430" s="4">
        <v>1</v>
      </c>
      <c r="Q430" s="3" t="s">
        <v>26</v>
      </c>
      <c r="R430" s="3">
        <v>0</v>
      </c>
      <c r="S430" s="3" t="s">
        <v>246</v>
      </c>
      <c r="T430" s="3" t="s">
        <v>383</v>
      </c>
      <c r="U430" s="3">
        <v>0</v>
      </c>
      <c r="V430" s="3">
        <v>26</v>
      </c>
      <c r="W430" s="3">
        <v>81</v>
      </c>
    </row>
    <row r="431" spans="1:23" ht="11.25" customHeight="1" x14ac:dyDescent="0.25">
      <c r="A431" s="3" t="s">
        <v>28</v>
      </c>
      <c r="B431" s="3" t="s">
        <v>33</v>
      </c>
      <c r="C431" s="3" t="s">
        <v>23</v>
      </c>
      <c r="D431" s="3" t="s">
        <v>49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44713</v>
      </c>
      <c r="J431" s="4">
        <v>0</v>
      </c>
      <c r="K431" s="4">
        <v>0</v>
      </c>
      <c r="L431" s="4">
        <v>0.1</v>
      </c>
      <c r="M431" s="4">
        <v>0.1</v>
      </c>
      <c r="N431" s="4">
        <v>0.1</v>
      </c>
      <c r="O431" s="4">
        <v>0.1</v>
      </c>
      <c r="P431" s="4">
        <v>1</v>
      </c>
      <c r="Q431" s="3" t="s">
        <v>26</v>
      </c>
      <c r="R431" s="3">
        <v>0</v>
      </c>
      <c r="S431" s="3" t="s">
        <v>246</v>
      </c>
      <c r="T431" s="3" t="s">
        <v>383</v>
      </c>
      <c r="U431" s="3">
        <v>0</v>
      </c>
      <c r="V431" s="3">
        <v>26</v>
      </c>
      <c r="W431" s="3">
        <v>81</v>
      </c>
    </row>
    <row r="432" spans="1:23" ht="11.25" customHeight="1" x14ac:dyDescent="0.25">
      <c r="A432" s="3" t="s">
        <v>21</v>
      </c>
      <c r="B432" s="3" t="s">
        <v>33</v>
      </c>
      <c r="C432" s="3" t="s">
        <v>23</v>
      </c>
      <c r="D432" s="3" t="s">
        <v>49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44743</v>
      </c>
      <c r="J432" s="4">
        <v>0</v>
      </c>
      <c r="K432" s="4">
        <v>0</v>
      </c>
      <c r="L432" s="4">
        <v>0.1</v>
      </c>
      <c r="M432" s="4">
        <v>0.1</v>
      </c>
      <c r="N432" s="4">
        <v>0.1</v>
      </c>
      <c r="O432" s="4">
        <v>0.1</v>
      </c>
      <c r="P432" s="4">
        <v>1</v>
      </c>
      <c r="Q432" s="3" t="s">
        <v>26</v>
      </c>
      <c r="R432" s="3">
        <v>0</v>
      </c>
      <c r="S432" s="3" t="s">
        <v>247</v>
      </c>
      <c r="T432" s="3" t="s">
        <v>384</v>
      </c>
      <c r="U432" s="3">
        <v>0</v>
      </c>
      <c r="V432" s="3">
        <v>26</v>
      </c>
      <c r="W432" s="3">
        <v>81</v>
      </c>
    </row>
    <row r="433" spans="1:23" ht="11.25" customHeight="1" x14ac:dyDescent="0.25">
      <c r="A433" s="3" t="s">
        <v>28</v>
      </c>
      <c r="B433" s="3" t="s">
        <v>33</v>
      </c>
      <c r="C433" s="3" t="s">
        <v>23</v>
      </c>
      <c r="D433" s="3" t="s">
        <v>49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44743</v>
      </c>
      <c r="J433" s="4">
        <v>0</v>
      </c>
      <c r="K433" s="4">
        <v>0</v>
      </c>
      <c r="L433" s="4">
        <v>0.1</v>
      </c>
      <c r="M433" s="4">
        <v>0.1</v>
      </c>
      <c r="N433" s="4">
        <v>0.1</v>
      </c>
      <c r="O433" s="4">
        <v>0.1</v>
      </c>
      <c r="P433" s="4">
        <v>1</v>
      </c>
      <c r="Q433" s="3" t="s">
        <v>26</v>
      </c>
      <c r="R433" s="3">
        <v>0</v>
      </c>
      <c r="S433" s="3" t="s">
        <v>247</v>
      </c>
      <c r="T433" s="3" t="s">
        <v>384</v>
      </c>
      <c r="U433" s="3">
        <v>0</v>
      </c>
      <c r="V433" s="3">
        <v>26</v>
      </c>
      <c r="W433" s="3">
        <v>81</v>
      </c>
    </row>
    <row r="434" spans="1:23" ht="11.25" customHeight="1" x14ac:dyDescent="0.25">
      <c r="A434" s="3" t="s">
        <v>21</v>
      </c>
      <c r="B434" s="3" t="s">
        <v>33</v>
      </c>
      <c r="C434" s="3" t="s">
        <v>23</v>
      </c>
      <c r="D434" s="3" t="s">
        <v>49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44774</v>
      </c>
      <c r="J434" s="4">
        <v>0</v>
      </c>
      <c r="K434" s="4">
        <v>0</v>
      </c>
      <c r="L434" s="4">
        <v>0.1</v>
      </c>
      <c r="M434" s="4">
        <v>0.1</v>
      </c>
      <c r="N434" s="4">
        <v>0.1</v>
      </c>
      <c r="O434" s="4">
        <v>0.1</v>
      </c>
      <c r="P434" s="4">
        <v>1</v>
      </c>
      <c r="Q434" s="3" t="s">
        <v>26</v>
      </c>
      <c r="R434" s="3">
        <v>0</v>
      </c>
      <c r="S434" s="3" t="s">
        <v>248</v>
      </c>
      <c r="T434" s="3" t="s">
        <v>385</v>
      </c>
      <c r="U434" s="3">
        <v>0</v>
      </c>
      <c r="V434" s="3">
        <v>26</v>
      </c>
      <c r="W434" s="3">
        <v>81</v>
      </c>
    </row>
    <row r="435" spans="1:23" ht="11.25" customHeight="1" x14ac:dyDescent="0.25">
      <c r="A435" s="3" t="s">
        <v>28</v>
      </c>
      <c r="B435" s="3" t="s">
        <v>33</v>
      </c>
      <c r="C435" s="3" t="s">
        <v>23</v>
      </c>
      <c r="D435" s="3" t="s">
        <v>49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44774</v>
      </c>
      <c r="J435" s="4">
        <v>0</v>
      </c>
      <c r="K435" s="4">
        <v>0</v>
      </c>
      <c r="L435" s="4">
        <v>0.1</v>
      </c>
      <c r="M435" s="4">
        <v>0.1</v>
      </c>
      <c r="N435" s="4">
        <v>0.1</v>
      </c>
      <c r="O435" s="4">
        <v>0.1</v>
      </c>
      <c r="P435" s="4">
        <v>1</v>
      </c>
      <c r="Q435" s="3" t="s">
        <v>26</v>
      </c>
      <c r="R435" s="3">
        <v>0</v>
      </c>
      <c r="S435" s="3" t="s">
        <v>248</v>
      </c>
      <c r="T435" s="3" t="s">
        <v>385</v>
      </c>
      <c r="U435" s="3">
        <v>0</v>
      </c>
      <c r="V435" s="3">
        <v>26</v>
      </c>
      <c r="W435" s="3">
        <v>81</v>
      </c>
    </row>
    <row r="436" spans="1:23" ht="11.25" customHeight="1" x14ac:dyDescent="0.25">
      <c r="A436" s="3" t="s">
        <v>21</v>
      </c>
      <c r="B436" s="3" t="s">
        <v>33</v>
      </c>
      <c r="C436" s="3" t="s">
        <v>23</v>
      </c>
      <c r="D436" s="3" t="s">
        <v>34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44440</v>
      </c>
      <c r="J436" s="4">
        <v>0</v>
      </c>
      <c r="K436" s="4">
        <v>0</v>
      </c>
      <c r="L436" s="4">
        <v>136.107</v>
      </c>
      <c r="M436" s="4">
        <v>136.107</v>
      </c>
      <c r="N436" s="4">
        <v>136.107</v>
      </c>
      <c r="O436" s="4">
        <v>136.107</v>
      </c>
      <c r="P436" s="4">
        <v>20</v>
      </c>
      <c r="Q436" s="3" t="s">
        <v>26</v>
      </c>
      <c r="R436" s="3">
        <v>0</v>
      </c>
      <c r="S436" s="3" t="s">
        <v>237</v>
      </c>
      <c r="T436" s="3" t="s">
        <v>374</v>
      </c>
      <c r="U436" s="3">
        <v>0</v>
      </c>
      <c r="V436" s="3">
        <v>26</v>
      </c>
      <c r="W436" s="3">
        <v>81</v>
      </c>
    </row>
    <row r="437" spans="1:23" ht="11.25" customHeight="1" x14ac:dyDescent="0.25">
      <c r="A437" s="3" t="s">
        <v>28</v>
      </c>
      <c r="B437" s="3" t="s">
        <v>33</v>
      </c>
      <c r="C437" s="3" t="s">
        <v>23</v>
      </c>
      <c r="D437" s="3" t="s">
        <v>34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44440</v>
      </c>
      <c r="J437" s="4">
        <v>0</v>
      </c>
      <c r="K437" s="4">
        <v>0</v>
      </c>
      <c r="L437" s="4">
        <v>4.835</v>
      </c>
      <c r="M437" s="4">
        <v>4.835</v>
      </c>
      <c r="N437" s="4">
        <v>4.835</v>
      </c>
      <c r="O437" s="4">
        <v>4.835</v>
      </c>
      <c r="P437" s="4">
        <v>1</v>
      </c>
      <c r="Q437" s="3" t="s">
        <v>26</v>
      </c>
      <c r="R437" s="3">
        <v>0</v>
      </c>
      <c r="S437" s="3" t="s">
        <v>237</v>
      </c>
      <c r="T437" s="3" t="s">
        <v>374</v>
      </c>
      <c r="U437" s="3">
        <v>0</v>
      </c>
      <c r="V437" s="3">
        <v>26</v>
      </c>
      <c r="W437" s="3">
        <v>81</v>
      </c>
    </row>
    <row r="438" spans="1:23" ht="11.25" customHeight="1" x14ac:dyDescent="0.25">
      <c r="A438" s="3" t="s">
        <v>21</v>
      </c>
      <c r="B438" s="3" t="s">
        <v>33</v>
      </c>
      <c r="C438" s="3" t="s">
        <v>23</v>
      </c>
      <c r="D438" s="3" t="s">
        <v>34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44470</v>
      </c>
      <c r="J438" s="4">
        <v>0</v>
      </c>
      <c r="K438" s="4">
        <v>0</v>
      </c>
      <c r="L438" s="4">
        <v>30.5</v>
      </c>
      <c r="M438" s="4">
        <v>30.5</v>
      </c>
      <c r="N438" s="4">
        <v>30.5</v>
      </c>
      <c r="O438" s="4">
        <v>30.5</v>
      </c>
      <c r="P438" s="4">
        <v>19</v>
      </c>
      <c r="Q438" s="3" t="s">
        <v>26</v>
      </c>
      <c r="R438" s="3">
        <v>0</v>
      </c>
      <c r="S438" s="3" t="s">
        <v>238</v>
      </c>
      <c r="T438" s="3" t="s">
        <v>375</v>
      </c>
      <c r="U438" s="3">
        <v>0</v>
      </c>
      <c r="V438" s="3">
        <v>26</v>
      </c>
      <c r="W438" s="3">
        <v>81</v>
      </c>
    </row>
    <row r="439" spans="1:23" ht="11.25" customHeight="1" x14ac:dyDescent="0.25">
      <c r="A439" s="3" t="s">
        <v>27</v>
      </c>
      <c r="B439" s="3" t="s">
        <v>33</v>
      </c>
      <c r="C439" s="3" t="s">
        <v>23</v>
      </c>
      <c r="D439" s="3" t="s">
        <v>34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44470</v>
      </c>
      <c r="J439" s="4">
        <v>0</v>
      </c>
      <c r="K439" s="4">
        <v>0</v>
      </c>
      <c r="L439" s="4">
        <v>-99.894000000000005</v>
      </c>
      <c r="M439" s="4">
        <v>-99.894000000000005</v>
      </c>
      <c r="N439" s="4">
        <v>-99.894000000000005</v>
      </c>
      <c r="O439" s="4">
        <v>-99.894000000000005</v>
      </c>
      <c r="P439" s="4">
        <v>0</v>
      </c>
      <c r="Q439" s="3" t="s">
        <v>26</v>
      </c>
      <c r="R439" s="3">
        <v>0</v>
      </c>
      <c r="S439" s="3" t="s">
        <v>238</v>
      </c>
      <c r="T439" s="3" t="s">
        <v>375</v>
      </c>
      <c r="U439" s="3">
        <v>0</v>
      </c>
      <c r="V439" s="3">
        <v>26</v>
      </c>
      <c r="W439" s="3">
        <v>81</v>
      </c>
    </row>
    <row r="440" spans="1:23" ht="11.25" customHeight="1" x14ac:dyDescent="0.25">
      <c r="A440" s="3" t="s">
        <v>28</v>
      </c>
      <c r="B440" s="3" t="s">
        <v>33</v>
      </c>
      <c r="C440" s="3" t="s">
        <v>23</v>
      </c>
      <c r="D440" s="3" t="s">
        <v>34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44470</v>
      </c>
      <c r="J440" s="4">
        <v>0</v>
      </c>
      <c r="K440" s="4">
        <v>0</v>
      </c>
      <c r="L440" s="4">
        <v>3.86</v>
      </c>
      <c r="M440" s="4">
        <v>3.86</v>
      </c>
      <c r="N440" s="4">
        <v>3.86</v>
      </c>
      <c r="O440" s="4">
        <v>3.86</v>
      </c>
      <c r="P440" s="4">
        <v>1</v>
      </c>
      <c r="Q440" s="3" t="s">
        <v>26</v>
      </c>
      <c r="R440" s="3">
        <v>0</v>
      </c>
      <c r="S440" s="3" t="s">
        <v>238</v>
      </c>
      <c r="T440" s="3" t="s">
        <v>375</v>
      </c>
      <c r="U440" s="3">
        <v>0</v>
      </c>
      <c r="V440" s="3">
        <v>26</v>
      </c>
      <c r="W440" s="3">
        <v>81</v>
      </c>
    </row>
    <row r="441" spans="1:23" ht="11.25" customHeight="1" x14ac:dyDescent="0.25">
      <c r="A441" s="3" t="s">
        <v>21</v>
      </c>
      <c r="B441" s="3" t="s">
        <v>33</v>
      </c>
      <c r="C441" s="3" t="s">
        <v>23</v>
      </c>
      <c r="D441" s="3" t="s">
        <v>34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44501</v>
      </c>
      <c r="J441" s="4">
        <v>0</v>
      </c>
      <c r="K441" s="4">
        <v>0</v>
      </c>
      <c r="L441" s="4">
        <v>26.689</v>
      </c>
      <c r="M441" s="4">
        <v>26.689</v>
      </c>
      <c r="N441" s="4">
        <v>26.689</v>
      </c>
      <c r="O441" s="4">
        <v>26.689</v>
      </c>
      <c r="P441" s="4">
        <v>19</v>
      </c>
      <c r="Q441" s="3" t="s">
        <v>26</v>
      </c>
      <c r="R441" s="3">
        <v>0</v>
      </c>
      <c r="S441" s="3" t="s">
        <v>239</v>
      </c>
      <c r="T441" s="3" t="s">
        <v>376</v>
      </c>
      <c r="U441" s="3">
        <v>0</v>
      </c>
      <c r="V441" s="3">
        <v>26</v>
      </c>
      <c r="W441" s="3">
        <v>81</v>
      </c>
    </row>
    <row r="442" spans="1:23" ht="11.25" customHeight="1" x14ac:dyDescent="0.25">
      <c r="A442" s="3" t="s">
        <v>28</v>
      </c>
      <c r="B442" s="3" t="s">
        <v>33</v>
      </c>
      <c r="C442" s="3" t="s">
        <v>23</v>
      </c>
      <c r="D442" s="3" t="s">
        <v>34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44501</v>
      </c>
      <c r="J442" s="4">
        <v>0</v>
      </c>
      <c r="K442" s="4">
        <v>0</v>
      </c>
      <c r="L442" s="4">
        <v>2.762</v>
      </c>
      <c r="M442" s="4">
        <v>2.762</v>
      </c>
      <c r="N442" s="4">
        <v>2.762</v>
      </c>
      <c r="O442" s="4">
        <v>2.762</v>
      </c>
      <c r="P442" s="4">
        <v>1</v>
      </c>
      <c r="Q442" s="3" t="s">
        <v>26</v>
      </c>
      <c r="R442" s="3">
        <v>0</v>
      </c>
      <c r="S442" s="3" t="s">
        <v>239</v>
      </c>
      <c r="T442" s="3" t="s">
        <v>376</v>
      </c>
      <c r="U442" s="3">
        <v>0</v>
      </c>
      <c r="V442" s="3">
        <v>26</v>
      </c>
      <c r="W442" s="3">
        <v>81</v>
      </c>
    </row>
    <row r="443" spans="1:23" ht="11.25" customHeight="1" x14ac:dyDescent="0.25">
      <c r="A443" s="3" t="s">
        <v>21</v>
      </c>
      <c r="B443" s="3" t="s">
        <v>33</v>
      </c>
      <c r="C443" s="3" t="s">
        <v>23</v>
      </c>
      <c r="D443" s="3" t="s">
        <v>34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44531</v>
      </c>
      <c r="J443" s="4">
        <v>0</v>
      </c>
      <c r="K443" s="4">
        <v>0</v>
      </c>
      <c r="L443" s="4">
        <v>27.263000000000002</v>
      </c>
      <c r="M443" s="4">
        <v>27.263000000000002</v>
      </c>
      <c r="N443" s="4">
        <v>27.263000000000002</v>
      </c>
      <c r="O443" s="4">
        <v>27.263000000000002</v>
      </c>
      <c r="P443" s="4">
        <v>19</v>
      </c>
      <c r="Q443" s="3" t="s">
        <v>26</v>
      </c>
      <c r="R443" s="3">
        <v>0</v>
      </c>
      <c r="S443" s="3" t="s">
        <v>240</v>
      </c>
      <c r="T443" s="3" t="s">
        <v>377</v>
      </c>
      <c r="U443" s="3">
        <v>0</v>
      </c>
      <c r="V443" s="3">
        <v>26</v>
      </c>
      <c r="W443" s="3">
        <v>81</v>
      </c>
    </row>
    <row r="444" spans="1:23" ht="11.25" customHeight="1" x14ac:dyDescent="0.25">
      <c r="A444" s="3" t="s">
        <v>28</v>
      </c>
      <c r="B444" s="3" t="s">
        <v>33</v>
      </c>
      <c r="C444" s="3" t="s">
        <v>23</v>
      </c>
      <c r="D444" s="3" t="s">
        <v>34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44531</v>
      </c>
      <c r="J444" s="4">
        <v>0</v>
      </c>
      <c r="K444" s="4">
        <v>0</v>
      </c>
      <c r="L444" s="4">
        <v>2.8210000000000002</v>
      </c>
      <c r="M444" s="4">
        <v>2.8210000000000002</v>
      </c>
      <c r="N444" s="4">
        <v>2.8210000000000002</v>
      </c>
      <c r="O444" s="4">
        <v>2.8210000000000002</v>
      </c>
      <c r="P444" s="4">
        <v>1</v>
      </c>
      <c r="Q444" s="3" t="s">
        <v>26</v>
      </c>
      <c r="R444" s="3">
        <v>0</v>
      </c>
      <c r="S444" s="3" t="s">
        <v>240</v>
      </c>
      <c r="T444" s="3" t="s">
        <v>377</v>
      </c>
      <c r="U444" s="3">
        <v>0</v>
      </c>
      <c r="V444" s="3">
        <v>26</v>
      </c>
      <c r="W444" s="3">
        <v>81</v>
      </c>
    </row>
    <row r="445" spans="1:23" ht="11.25" customHeight="1" x14ac:dyDescent="0.25">
      <c r="A445" s="3" t="s">
        <v>21</v>
      </c>
      <c r="B445" s="3" t="s">
        <v>33</v>
      </c>
      <c r="C445" s="3" t="s">
        <v>23</v>
      </c>
      <c r="D445" s="3" t="s">
        <v>34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44562</v>
      </c>
      <c r="J445" s="4">
        <v>0</v>
      </c>
      <c r="K445" s="4">
        <v>0</v>
      </c>
      <c r="L445" s="4">
        <v>20.204999999999998</v>
      </c>
      <c r="M445" s="4">
        <v>20.204999999999998</v>
      </c>
      <c r="N445" s="4">
        <v>20.204999999999998</v>
      </c>
      <c r="O445" s="4">
        <v>20.204999999999998</v>
      </c>
      <c r="P445" s="4">
        <v>19</v>
      </c>
      <c r="Q445" s="3" t="s">
        <v>26</v>
      </c>
      <c r="R445" s="3">
        <v>0</v>
      </c>
      <c r="S445" s="3" t="s">
        <v>241</v>
      </c>
      <c r="T445" s="3" t="s">
        <v>378</v>
      </c>
      <c r="U445" s="3">
        <v>0</v>
      </c>
      <c r="V445" s="3">
        <v>26</v>
      </c>
      <c r="W445" s="3">
        <v>81</v>
      </c>
    </row>
    <row r="446" spans="1:23" ht="11.25" customHeight="1" x14ac:dyDescent="0.25">
      <c r="A446" s="3" t="s">
        <v>28</v>
      </c>
      <c r="B446" s="3" t="s">
        <v>33</v>
      </c>
      <c r="C446" s="3" t="s">
        <v>23</v>
      </c>
      <c r="D446" s="3" t="s">
        <v>34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44562</v>
      </c>
      <c r="J446" s="4">
        <v>0</v>
      </c>
      <c r="K446" s="4">
        <v>0</v>
      </c>
      <c r="L446" s="4">
        <v>0.1</v>
      </c>
      <c r="M446" s="4">
        <v>0.1</v>
      </c>
      <c r="N446" s="4">
        <v>0.1</v>
      </c>
      <c r="O446" s="4">
        <v>0.1</v>
      </c>
      <c r="P446" s="4">
        <v>1</v>
      </c>
      <c r="Q446" s="3" t="s">
        <v>26</v>
      </c>
      <c r="R446" s="3">
        <v>0</v>
      </c>
      <c r="S446" s="3" t="s">
        <v>241</v>
      </c>
      <c r="T446" s="3" t="s">
        <v>378</v>
      </c>
      <c r="U446" s="3">
        <v>0</v>
      </c>
      <c r="V446" s="3">
        <v>26</v>
      </c>
      <c r="W446" s="3">
        <v>81</v>
      </c>
    </row>
    <row r="447" spans="1:23" ht="11.25" customHeight="1" x14ac:dyDescent="0.25">
      <c r="A447" s="3" t="s">
        <v>21</v>
      </c>
      <c r="B447" s="3" t="s">
        <v>33</v>
      </c>
      <c r="C447" s="3" t="s">
        <v>23</v>
      </c>
      <c r="D447" s="3" t="s">
        <v>34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44593</v>
      </c>
      <c r="J447" s="4">
        <v>0</v>
      </c>
      <c r="K447" s="4">
        <v>0</v>
      </c>
      <c r="L447" s="4">
        <v>22.268000000000001</v>
      </c>
      <c r="M447" s="4">
        <v>22.268000000000001</v>
      </c>
      <c r="N447" s="4">
        <v>22.268000000000001</v>
      </c>
      <c r="O447" s="4">
        <v>22.268000000000001</v>
      </c>
      <c r="P447" s="4">
        <v>19</v>
      </c>
      <c r="Q447" s="3" t="s">
        <v>26</v>
      </c>
      <c r="R447" s="3">
        <v>0</v>
      </c>
      <c r="S447" s="3" t="s">
        <v>242</v>
      </c>
      <c r="T447" s="3" t="s">
        <v>379</v>
      </c>
      <c r="U447" s="3">
        <v>0</v>
      </c>
      <c r="V447" s="3">
        <v>26</v>
      </c>
      <c r="W447" s="3">
        <v>81</v>
      </c>
    </row>
    <row r="448" spans="1:23" ht="11.25" customHeight="1" x14ac:dyDescent="0.25">
      <c r="A448" s="3" t="s">
        <v>28</v>
      </c>
      <c r="B448" s="3" t="s">
        <v>33</v>
      </c>
      <c r="C448" s="3" t="s">
        <v>23</v>
      </c>
      <c r="D448" s="3" t="s">
        <v>34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44593</v>
      </c>
      <c r="J448" s="4">
        <v>0</v>
      </c>
      <c r="K448" s="4">
        <v>0</v>
      </c>
      <c r="L448" s="4">
        <v>1.992</v>
      </c>
      <c r="M448" s="4">
        <v>1.992</v>
      </c>
      <c r="N448" s="4">
        <v>1.992</v>
      </c>
      <c r="O448" s="4">
        <v>1.992</v>
      </c>
      <c r="P448" s="4">
        <v>1</v>
      </c>
      <c r="Q448" s="3" t="s">
        <v>26</v>
      </c>
      <c r="R448" s="3">
        <v>0</v>
      </c>
      <c r="S448" s="3" t="s">
        <v>242</v>
      </c>
      <c r="T448" s="3" t="s">
        <v>379</v>
      </c>
      <c r="U448" s="3">
        <v>0</v>
      </c>
      <c r="V448" s="3">
        <v>26</v>
      </c>
      <c r="W448" s="3">
        <v>81</v>
      </c>
    </row>
    <row r="449" spans="1:23" ht="11.25" customHeight="1" x14ac:dyDescent="0.25">
      <c r="A449" s="3" t="s">
        <v>21</v>
      </c>
      <c r="B449" s="3" t="s">
        <v>33</v>
      </c>
      <c r="C449" s="3" t="s">
        <v>23</v>
      </c>
      <c r="D449" s="3" t="s">
        <v>34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44621</v>
      </c>
      <c r="J449" s="4">
        <v>0</v>
      </c>
      <c r="K449" s="4">
        <v>0</v>
      </c>
      <c r="L449" s="4">
        <v>23.939</v>
      </c>
      <c r="M449" s="4">
        <v>23.939</v>
      </c>
      <c r="N449" s="4">
        <v>23.939</v>
      </c>
      <c r="O449" s="4">
        <v>23.939</v>
      </c>
      <c r="P449" s="4">
        <v>19</v>
      </c>
      <c r="Q449" s="3" t="s">
        <v>26</v>
      </c>
      <c r="R449" s="3">
        <v>0</v>
      </c>
      <c r="S449" s="3" t="s">
        <v>243</v>
      </c>
      <c r="T449" s="3" t="s">
        <v>380</v>
      </c>
      <c r="U449" s="3">
        <v>0</v>
      </c>
      <c r="V449" s="3">
        <v>26</v>
      </c>
      <c r="W449" s="3">
        <v>81</v>
      </c>
    </row>
    <row r="450" spans="1:23" ht="11.25" customHeight="1" x14ac:dyDescent="0.25">
      <c r="A450" s="3" t="s">
        <v>28</v>
      </c>
      <c r="B450" s="3" t="s">
        <v>33</v>
      </c>
      <c r="C450" s="3" t="s">
        <v>23</v>
      </c>
      <c r="D450" s="3" t="s">
        <v>34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44621</v>
      </c>
      <c r="J450" s="4">
        <v>0</v>
      </c>
      <c r="K450" s="4">
        <v>0</v>
      </c>
      <c r="L450" s="4">
        <v>3.339</v>
      </c>
      <c r="M450" s="4">
        <v>3.339</v>
      </c>
      <c r="N450" s="4">
        <v>3.339</v>
      </c>
      <c r="O450" s="4">
        <v>3.339</v>
      </c>
      <c r="P450" s="4">
        <v>1</v>
      </c>
      <c r="Q450" s="3" t="s">
        <v>26</v>
      </c>
      <c r="R450" s="3">
        <v>0</v>
      </c>
      <c r="S450" s="3" t="s">
        <v>243</v>
      </c>
      <c r="T450" s="3" t="s">
        <v>380</v>
      </c>
      <c r="U450" s="3">
        <v>0</v>
      </c>
      <c r="V450" s="3">
        <v>26</v>
      </c>
      <c r="W450" s="3">
        <v>81</v>
      </c>
    </row>
    <row r="451" spans="1:23" ht="11.25" customHeight="1" x14ac:dyDescent="0.25">
      <c r="A451" s="3" t="s">
        <v>21</v>
      </c>
      <c r="B451" s="3" t="s">
        <v>33</v>
      </c>
      <c r="C451" s="3" t="s">
        <v>23</v>
      </c>
      <c r="D451" s="3" t="s">
        <v>34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44652</v>
      </c>
      <c r="J451" s="4">
        <v>0</v>
      </c>
      <c r="K451" s="4">
        <v>0</v>
      </c>
      <c r="L451" s="4">
        <v>25.975999999999999</v>
      </c>
      <c r="M451" s="4">
        <v>25.975999999999999</v>
      </c>
      <c r="N451" s="4">
        <v>25.975999999999999</v>
      </c>
      <c r="O451" s="4">
        <v>25.975999999999999</v>
      </c>
      <c r="P451" s="4">
        <v>19</v>
      </c>
      <c r="Q451" s="3" t="s">
        <v>26</v>
      </c>
      <c r="R451" s="3">
        <v>0</v>
      </c>
      <c r="S451" s="3" t="s">
        <v>244</v>
      </c>
      <c r="T451" s="3" t="s">
        <v>381</v>
      </c>
      <c r="U451" s="3">
        <v>0</v>
      </c>
      <c r="V451" s="3">
        <v>26</v>
      </c>
      <c r="W451" s="3">
        <v>81</v>
      </c>
    </row>
    <row r="452" spans="1:23" ht="11.25" customHeight="1" x14ac:dyDescent="0.25">
      <c r="A452" s="3" t="s">
        <v>28</v>
      </c>
      <c r="B452" s="3" t="s">
        <v>33</v>
      </c>
      <c r="C452" s="3" t="s">
        <v>23</v>
      </c>
      <c r="D452" s="3" t="s">
        <v>34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44652</v>
      </c>
      <c r="J452" s="4">
        <v>0</v>
      </c>
      <c r="K452" s="4">
        <v>0</v>
      </c>
      <c r="L452" s="4">
        <v>4.173</v>
      </c>
      <c r="M452" s="4">
        <v>4.173</v>
      </c>
      <c r="N452" s="4">
        <v>4.173</v>
      </c>
      <c r="O452" s="4">
        <v>4.173</v>
      </c>
      <c r="P452" s="4">
        <v>1</v>
      </c>
      <c r="Q452" s="3" t="s">
        <v>26</v>
      </c>
      <c r="R452" s="3">
        <v>0</v>
      </c>
      <c r="S452" s="3" t="s">
        <v>244</v>
      </c>
      <c r="T452" s="3" t="s">
        <v>381</v>
      </c>
      <c r="U452" s="3">
        <v>0</v>
      </c>
      <c r="V452" s="3">
        <v>26</v>
      </c>
      <c r="W452" s="3">
        <v>81</v>
      </c>
    </row>
    <row r="453" spans="1:23" ht="11.25" customHeight="1" x14ac:dyDescent="0.25">
      <c r="A453" s="3" t="s">
        <v>21</v>
      </c>
      <c r="B453" s="3" t="s">
        <v>33</v>
      </c>
      <c r="C453" s="3" t="s">
        <v>23</v>
      </c>
      <c r="D453" s="3" t="s">
        <v>34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44682</v>
      </c>
      <c r="J453" s="4">
        <v>0</v>
      </c>
      <c r="K453" s="4">
        <v>0</v>
      </c>
      <c r="L453" s="4">
        <v>23.803999999999998</v>
      </c>
      <c r="M453" s="4">
        <v>23.803999999999998</v>
      </c>
      <c r="N453" s="4">
        <v>23.803999999999998</v>
      </c>
      <c r="O453" s="4">
        <v>23.803999999999998</v>
      </c>
      <c r="P453" s="4">
        <v>19</v>
      </c>
      <c r="Q453" s="3" t="s">
        <v>26</v>
      </c>
      <c r="R453" s="3">
        <v>0</v>
      </c>
      <c r="S453" s="3" t="s">
        <v>245</v>
      </c>
      <c r="T453" s="3" t="s">
        <v>382</v>
      </c>
      <c r="U453" s="3">
        <v>0</v>
      </c>
      <c r="V453" s="3">
        <v>26</v>
      </c>
      <c r="W453" s="3">
        <v>81</v>
      </c>
    </row>
    <row r="454" spans="1:23" ht="11.25" customHeight="1" x14ac:dyDescent="0.25">
      <c r="A454" s="3" t="s">
        <v>28</v>
      </c>
      <c r="B454" s="3" t="s">
        <v>33</v>
      </c>
      <c r="C454" s="3" t="s">
        <v>23</v>
      </c>
      <c r="D454" s="3" t="s">
        <v>34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44682</v>
      </c>
      <c r="J454" s="4">
        <v>0</v>
      </c>
      <c r="K454" s="4">
        <v>0</v>
      </c>
      <c r="L454" s="4">
        <v>2.165</v>
      </c>
      <c r="M454" s="4">
        <v>2.165</v>
      </c>
      <c r="N454" s="4">
        <v>2.165</v>
      </c>
      <c r="O454" s="4">
        <v>2.165</v>
      </c>
      <c r="P454" s="4">
        <v>1</v>
      </c>
      <c r="Q454" s="3" t="s">
        <v>26</v>
      </c>
      <c r="R454" s="3">
        <v>0</v>
      </c>
      <c r="S454" s="3" t="s">
        <v>245</v>
      </c>
      <c r="T454" s="3" t="s">
        <v>382</v>
      </c>
      <c r="U454" s="3">
        <v>0</v>
      </c>
      <c r="V454" s="3">
        <v>26</v>
      </c>
      <c r="W454" s="3">
        <v>81</v>
      </c>
    </row>
    <row r="455" spans="1:23" ht="11.25" customHeight="1" x14ac:dyDescent="0.25">
      <c r="A455" s="3" t="s">
        <v>21</v>
      </c>
      <c r="B455" s="3" t="s">
        <v>33</v>
      </c>
      <c r="C455" s="3" t="s">
        <v>23</v>
      </c>
      <c r="D455" s="3" t="s">
        <v>34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44713</v>
      </c>
      <c r="J455" s="4">
        <v>0</v>
      </c>
      <c r="K455" s="4">
        <v>0</v>
      </c>
      <c r="L455" s="4">
        <v>26.373999999999999</v>
      </c>
      <c r="M455" s="4">
        <v>26.373999999999999</v>
      </c>
      <c r="N455" s="4">
        <v>26.373999999999999</v>
      </c>
      <c r="O455" s="4">
        <v>26.373999999999999</v>
      </c>
      <c r="P455" s="4">
        <v>19</v>
      </c>
      <c r="Q455" s="3" t="s">
        <v>26</v>
      </c>
      <c r="R455" s="3">
        <v>0</v>
      </c>
      <c r="S455" s="3" t="s">
        <v>246</v>
      </c>
      <c r="T455" s="3" t="s">
        <v>383</v>
      </c>
      <c r="U455" s="3">
        <v>0</v>
      </c>
      <c r="V455" s="3">
        <v>26</v>
      </c>
      <c r="W455" s="3">
        <v>81</v>
      </c>
    </row>
    <row r="456" spans="1:23" ht="11.25" customHeight="1" x14ac:dyDescent="0.25">
      <c r="A456" s="3" t="s">
        <v>28</v>
      </c>
      <c r="B456" s="3" t="s">
        <v>33</v>
      </c>
      <c r="C456" s="3" t="s">
        <v>23</v>
      </c>
      <c r="D456" s="3" t="s">
        <v>34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44713</v>
      </c>
      <c r="J456" s="4">
        <v>0</v>
      </c>
      <c r="K456" s="4">
        <v>0</v>
      </c>
      <c r="L456" s="4">
        <v>2.226</v>
      </c>
      <c r="M456" s="4">
        <v>2.226</v>
      </c>
      <c r="N456" s="4">
        <v>2.226</v>
      </c>
      <c r="O456" s="4">
        <v>2.226</v>
      </c>
      <c r="P456" s="4">
        <v>1</v>
      </c>
      <c r="Q456" s="3" t="s">
        <v>26</v>
      </c>
      <c r="R456" s="3">
        <v>0</v>
      </c>
      <c r="S456" s="3" t="s">
        <v>246</v>
      </c>
      <c r="T456" s="3" t="s">
        <v>383</v>
      </c>
      <c r="U456" s="3">
        <v>0</v>
      </c>
      <c r="V456" s="3">
        <v>26</v>
      </c>
      <c r="W456" s="3">
        <v>81</v>
      </c>
    </row>
    <row r="457" spans="1:23" ht="11.25" customHeight="1" x14ac:dyDescent="0.25">
      <c r="A457" s="3" t="s">
        <v>21</v>
      </c>
      <c r="B457" s="3" t="s">
        <v>33</v>
      </c>
      <c r="C457" s="3" t="s">
        <v>23</v>
      </c>
      <c r="D457" s="3" t="s">
        <v>34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44743</v>
      </c>
      <c r="J457" s="4">
        <v>0</v>
      </c>
      <c r="K457" s="4">
        <v>0</v>
      </c>
      <c r="L457" s="4">
        <v>23.061</v>
      </c>
      <c r="M457" s="4">
        <v>23.061</v>
      </c>
      <c r="N457" s="4">
        <v>23.061</v>
      </c>
      <c r="O457" s="4">
        <v>23.061</v>
      </c>
      <c r="P457" s="4">
        <v>20</v>
      </c>
      <c r="Q457" s="3" t="s">
        <v>26</v>
      </c>
      <c r="R457" s="3">
        <v>0</v>
      </c>
      <c r="S457" s="3" t="s">
        <v>247</v>
      </c>
      <c r="T457" s="3" t="s">
        <v>384</v>
      </c>
      <c r="U457" s="3">
        <v>0</v>
      </c>
      <c r="V457" s="3">
        <v>26</v>
      </c>
      <c r="W457" s="3">
        <v>81</v>
      </c>
    </row>
    <row r="458" spans="1:23" ht="11.25" customHeight="1" x14ac:dyDescent="0.25">
      <c r="A458" s="3" t="s">
        <v>28</v>
      </c>
      <c r="B458" s="3" t="s">
        <v>33</v>
      </c>
      <c r="C458" s="3" t="s">
        <v>23</v>
      </c>
      <c r="D458" s="3" t="s">
        <v>34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44743</v>
      </c>
      <c r="J458" s="4">
        <v>0</v>
      </c>
      <c r="K458" s="4">
        <v>0</v>
      </c>
      <c r="L458" s="4">
        <v>3.1360000000000001</v>
      </c>
      <c r="M458" s="4">
        <v>3.1360000000000001</v>
      </c>
      <c r="N458" s="4">
        <v>3.1360000000000001</v>
      </c>
      <c r="O458" s="4">
        <v>3.1360000000000001</v>
      </c>
      <c r="P458" s="4">
        <v>1</v>
      </c>
      <c r="Q458" s="3" t="s">
        <v>26</v>
      </c>
      <c r="R458" s="3">
        <v>0</v>
      </c>
      <c r="S458" s="3" t="s">
        <v>247</v>
      </c>
      <c r="T458" s="3" t="s">
        <v>384</v>
      </c>
      <c r="U458" s="3">
        <v>0</v>
      </c>
      <c r="V458" s="3">
        <v>26</v>
      </c>
      <c r="W458" s="3">
        <v>81</v>
      </c>
    </row>
    <row r="459" spans="1:23" ht="11.25" customHeight="1" x14ac:dyDescent="0.25">
      <c r="A459" s="3" t="s">
        <v>21</v>
      </c>
      <c r="B459" s="3" t="s">
        <v>33</v>
      </c>
      <c r="C459" s="3" t="s">
        <v>23</v>
      </c>
      <c r="D459" s="3" t="s">
        <v>34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44774</v>
      </c>
      <c r="J459" s="4">
        <v>0</v>
      </c>
      <c r="K459" s="4">
        <v>0</v>
      </c>
      <c r="L459" s="4">
        <v>22.222000000000001</v>
      </c>
      <c r="M459" s="4">
        <v>22.222000000000001</v>
      </c>
      <c r="N459" s="4">
        <v>22.222000000000001</v>
      </c>
      <c r="O459" s="4">
        <v>22.222000000000001</v>
      </c>
      <c r="P459" s="4">
        <v>20</v>
      </c>
      <c r="Q459" s="3" t="s">
        <v>26</v>
      </c>
      <c r="R459" s="3">
        <v>0</v>
      </c>
      <c r="S459" s="3" t="s">
        <v>248</v>
      </c>
      <c r="T459" s="3" t="s">
        <v>385</v>
      </c>
      <c r="U459" s="3">
        <v>0</v>
      </c>
      <c r="V459" s="3">
        <v>26</v>
      </c>
      <c r="W459" s="3">
        <v>81</v>
      </c>
    </row>
    <row r="460" spans="1:23" ht="11.25" customHeight="1" x14ac:dyDescent="0.25">
      <c r="A460" s="3" t="s">
        <v>28</v>
      </c>
      <c r="B460" s="3" t="s">
        <v>33</v>
      </c>
      <c r="C460" s="3" t="s">
        <v>23</v>
      </c>
      <c r="D460" s="3" t="s">
        <v>34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44774</v>
      </c>
      <c r="J460" s="4">
        <v>0</v>
      </c>
      <c r="K460" s="4">
        <v>0</v>
      </c>
      <c r="L460" s="4">
        <v>2.8940000000000001</v>
      </c>
      <c r="M460" s="4">
        <v>2.8940000000000001</v>
      </c>
      <c r="N460" s="4">
        <v>2.8940000000000001</v>
      </c>
      <c r="O460" s="4">
        <v>2.8940000000000001</v>
      </c>
      <c r="P460" s="4">
        <v>1</v>
      </c>
      <c r="Q460" s="3" t="s">
        <v>26</v>
      </c>
      <c r="R460" s="3">
        <v>0</v>
      </c>
      <c r="S460" s="3" t="s">
        <v>248</v>
      </c>
      <c r="T460" s="3" t="s">
        <v>385</v>
      </c>
      <c r="U460" s="3">
        <v>0</v>
      </c>
      <c r="V460" s="3">
        <v>26</v>
      </c>
      <c r="W460" s="3">
        <v>81</v>
      </c>
    </row>
    <row r="461" spans="1:23" ht="11.25" customHeight="1" x14ac:dyDescent="0.25">
      <c r="A461" s="3" t="s">
        <v>21</v>
      </c>
      <c r="B461" s="3" t="s">
        <v>33</v>
      </c>
      <c r="C461" s="3" t="s">
        <v>23</v>
      </c>
      <c r="D461" s="3" t="s">
        <v>42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44440</v>
      </c>
      <c r="J461" s="4">
        <v>0</v>
      </c>
      <c r="K461" s="4">
        <v>0</v>
      </c>
      <c r="L461" s="4">
        <v>2.6970000000000001</v>
      </c>
      <c r="M461" s="4">
        <v>2.6970000000000001</v>
      </c>
      <c r="N461" s="4">
        <v>2.6970000000000001</v>
      </c>
      <c r="O461" s="4">
        <v>2.6970000000000001</v>
      </c>
      <c r="P461" s="4">
        <v>11</v>
      </c>
      <c r="Q461" s="3" t="s">
        <v>26</v>
      </c>
      <c r="R461" s="3">
        <v>0</v>
      </c>
      <c r="S461" s="3" t="s">
        <v>237</v>
      </c>
      <c r="T461" s="3" t="s">
        <v>374</v>
      </c>
      <c r="U461" s="3">
        <v>0</v>
      </c>
      <c r="V461" s="3">
        <v>26</v>
      </c>
      <c r="W461" s="3">
        <v>81</v>
      </c>
    </row>
    <row r="462" spans="1:23" ht="11.25" customHeight="1" x14ac:dyDescent="0.25">
      <c r="A462" s="3" t="s">
        <v>21</v>
      </c>
      <c r="B462" s="3" t="s">
        <v>33</v>
      </c>
      <c r="C462" s="3" t="s">
        <v>23</v>
      </c>
      <c r="D462" s="3" t="s">
        <v>42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44470</v>
      </c>
      <c r="J462" s="4">
        <v>0</v>
      </c>
      <c r="K462" s="4">
        <v>0</v>
      </c>
      <c r="L462" s="4">
        <v>3.528</v>
      </c>
      <c r="M462" s="4">
        <v>3.528</v>
      </c>
      <c r="N462" s="4">
        <v>3.528</v>
      </c>
      <c r="O462" s="4">
        <v>3.528</v>
      </c>
      <c r="P462" s="4">
        <v>10</v>
      </c>
      <c r="Q462" s="3" t="s">
        <v>26</v>
      </c>
      <c r="R462" s="3">
        <v>0</v>
      </c>
      <c r="S462" s="3" t="s">
        <v>238</v>
      </c>
      <c r="T462" s="3" t="s">
        <v>375</v>
      </c>
      <c r="U462" s="3">
        <v>0</v>
      </c>
      <c r="V462" s="3">
        <v>26</v>
      </c>
      <c r="W462" s="3">
        <v>81</v>
      </c>
    </row>
    <row r="463" spans="1:23" ht="11.25" customHeight="1" x14ac:dyDescent="0.25">
      <c r="A463" s="3" t="s">
        <v>21</v>
      </c>
      <c r="B463" s="3" t="s">
        <v>33</v>
      </c>
      <c r="C463" s="3" t="s">
        <v>23</v>
      </c>
      <c r="D463" s="3" t="s">
        <v>42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44501</v>
      </c>
      <c r="J463" s="4">
        <v>0</v>
      </c>
      <c r="K463" s="4">
        <v>0</v>
      </c>
      <c r="L463" s="4">
        <v>3.2440000000000002</v>
      </c>
      <c r="M463" s="4">
        <v>3.2440000000000002</v>
      </c>
      <c r="N463" s="4">
        <v>3.2440000000000002</v>
      </c>
      <c r="O463" s="4">
        <v>3.2440000000000002</v>
      </c>
      <c r="P463" s="4">
        <v>10</v>
      </c>
      <c r="Q463" s="3" t="s">
        <v>26</v>
      </c>
      <c r="R463" s="3">
        <v>0</v>
      </c>
      <c r="S463" s="3" t="s">
        <v>239</v>
      </c>
      <c r="T463" s="3" t="s">
        <v>376</v>
      </c>
      <c r="U463" s="3">
        <v>0</v>
      </c>
      <c r="V463" s="3">
        <v>26</v>
      </c>
      <c r="W463" s="3">
        <v>81</v>
      </c>
    </row>
    <row r="464" spans="1:23" ht="11.25" customHeight="1" x14ac:dyDescent="0.25">
      <c r="A464" s="3" t="s">
        <v>21</v>
      </c>
      <c r="B464" s="3" t="s">
        <v>33</v>
      </c>
      <c r="C464" s="3" t="s">
        <v>23</v>
      </c>
      <c r="D464" s="3" t="s">
        <v>42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44531</v>
      </c>
      <c r="J464" s="4">
        <v>0</v>
      </c>
      <c r="K464" s="4">
        <v>0</v>
      </c>
      <c r="L464" s="4">
        <v>4.3159999999999998</v>
      </c>
      <c r="M464" s="4">
        <v>4.3159999999999998</v>
      </c>
      <c r="N464" s="4">
        <v>4.3159999999999998</v>
      </c>
      <c r="O464" s="4">
        <v>4.3159999999999998</v>
      </c>
      <c r="P464" s="4">
        <v>10</v>
      </c>
      <c r="Q464" s="3" t="s">
        <v>26</v>
      </c>
      <c r="R464" s="3">
        <v>0</v>
      </c>
      <c r="S464" s="3" t="s">
        <v>240</v>
      </c>
      <c r="T464" s="3" t="s">
        <v>377</v>
      </c>
      <c r="U464" s="3">
        <v>0</v>
      </c>
      <c r="V464" s="3">
        <v>26</v>
      </c>
      <c r="W464" s="3">
        <v>81</v>
      </c>
    </row>
    <row r="465" spans="1:23" ht="11.25" customHeight="1" x14ac:dyDescent="0.25">
      <c r="A465" s="3" t="s">
        <v>21</v>
      </c>
      <c r="B465" s="3" t="s">
        <v>33</v>
      </c>
      <c r="C465" s="3" t="s">
        <v>23</v>
      </c>
      <c r="D465" s="3" t="s">
        <v>42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44562</v>
      </c>
      <c r="J465" s="4">
        <v>0</v>
      </c>
      <c r="K465" s="4">
        <v>0</v>
      </c>
      <c r="L465" s="4">
        <v>3.3170000000000002</v>
      </c>
      <c r="M465" s="4">
        <v>3.3170000000000002</v>
      </c>
      <c r="N465" s="4">
        <v>3.3170000000000002</v>
      </c>
      <c r="O465" s="4">
        <v>3.3170000000000002</v>
      </c>
      <c r="P465" s="4">
        <v>10</v>
      </c>
      <c r="Q465" s="3" t="s">
        <v>26</v>
      </c>
      <c r="R465" s="3">
        <v>0</v>
      </c>
      <c r="S465" s="3" t="s">
        <v>241</v>
      </c>
      <c r="T465" s="3" t="s">
        <v>378</v>
      </c>
      <c r="U465" s="3">
        <v>0</v>
      </c>
      <c r="V465" s="3">
        <v>26</v>
      </c>
      <c r="W465" s="3">
        <v>81</v>
      </c>
    </row>
    <row r="466" spans="1:23" ht="11.25" customHeight="1" x14ac:dyDescent="0.25">
      <c r="A466" s="3" t="s">
        <v>21</v>
      </c>
      <c r="B466" s="3" t="s">
        <v>33</v>
      </c>
      <c r="C466" s="3" t="s">
        <v>23</v>
      </c>
      <c r="D466" s="3" t="s">
        <v>42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44593</v>
      </c>
      <c r="J466" s="4">
        <v>0</v>
      </c>
      <c r="K466" s="4">
        <v>0</v>
      </c>
      <c r="L466" s="4">
        <v>3.4630000000000001</v>
      </c>
      <c r="M466" s="4">
        <v>3.4630000000000001</v>
      </c>
      <c r="N466" s="4">
        <v>3.4630000000000001</v>
      </c>
      <c r="O466" s="4">
        <v>3.4630000000000001</v>
      </c>
      <c r="P466" s="4">
        <v>10</v>
      </c>
      <c r="Q466" s="3" t="s">
        <v>26</v>
      </c>
      <c r="R466" s="3">
        <v>0</v>
      </c>
      <c r="S466" s="3" t="s">
        <v>242</v>
      </c>
      <c r="T466" s="3" t="s">
        <v>379</v>
      </c>
      <c r="U466" s="3">
        <v>0</v>
      </c>
      <c r="V466" s="3">
        <v>26</v>
      </c>
      <c r="W466" s="3">
        <v>81</v>
      </c>
    </row>
    <row r="467" spans="1:23" ht="11.25" customHeight="1" x14ac:dyDescent="0.25">
      <c r="A467" s="3" t="s">
        <v>21</v>
      </c>
      <c r="B467" s="3" t="s">
        <v>33</v>
      </c>
      <c r="C467" s="3" t="s">
        <v>23</v>
      </c>
      <c r="D467" s="3" t="s">
        <v>42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44621</v>
      </c>
      <c r="J467" s="4">
        <v>0</v>
      </c>
      <c r="K467" s="4">
        <v>0</v>
      </c>
      <c r="L467" s="4">
        <v>5.258</v>
      </c>
      <c r="M467" s="4">
        <v>5.258</v>
      </c>
      <c r="N467" s="4">
        <v>5.258</v>
      </c>
      <c r="O467" s="4">
        <v>5.258</v>
      </c>
      <c r="P467" s="4">
        <v>10</v>
      </c>
      <c r="Q467" s="3" t="s">
        <v>26</v>
      </c>
      <c r="R467" s="3">
        <v>0</v>
      </c>
      <c r="S467" s="3" t="s">
        <v>243</v>
      </c>
      <c r="T467" s="3" t="s">
        <v>380</v>
      </c>
      <c r="U467" s="3">
        <v>0</v>
      </c>
      <c r="V467" s="3">
        <v>26</v>
      </c>
      <c r="W467" s="3">
        <v>81</v>
      </c>
    </row>
    <row r="468" spans="1:23" ht="11.25" customHeight="1" x14ac:dyDescent="0.25">
      <c r="A468" s="3" t="s">
        <v>21</v>
      </c>
      <c r="B468" s="3" t="s">
        <v>33</v>
      </c>
      <c r="C468" s="3" t="s">
        <v>23</v>
      </c>
      <c r="D468" s="3" t="s">
        <v>42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44652</v>
      </c>
      <c r="J468" s="4">
        <v>0</v>
      </c>
      <c r="K468" s="4">
        <v>0</v>
      </c>
      <c r="L468" s="4">
        <v>5.5819999999999999</v>
      </c>
      <c r="M468" s="4">
        <v>5.5819999999999999</v>
      </c>
      <c r="N468" s="4">
        <v>5.5819999999999999</v>
      </c>
      <c r="O468" s="4">
        <v>5.5819999999999999</v>
      </c>
      <c r="P468" s="4">
        <v>10</v>
      </c>
      <c r="Q468" s="3" t="s">
        <v>26</v>
      </c>
      <c r="R468" s="3">
        <v>0</v>
      </c>
      <c r="S468" s="3" t="s">
        <v>244</v>
      </c>
      <c r="T468" s="3" t="s">
        <v>381</v>
      </c>
      <c r="U468" s="3">
        <v>0</v>
      </c>
      <c r="V468" s="3">
        <v>26</v>
      </c>
      <c r="W468" s="3">
        <v>81</v>
      </c>
    </row>
    <row r="469" spans="1:23" ht="11.25" customHeight="1" x14ac:dyDescent="0.25">
      <c r="A469" s="3" t="s">
        <v>21</v>
      </c>
      <c r="B469" s="3" t="s">
        <v>33</v>
      </c>
      <c r="C469" s="3" t="s">
        <v>23</v>
      </c>
      <c r="D469" s="3" t="s">
        <v>42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44682</v>
      </c>
      <c r="J469" s="4">
        <v>0</v>
      </c>
      <c r="K469" s="4">
        <v>0</v>
      </c>
      <c r="L469" s="4">
        <v>4.87</v>
      </c>
      <c r="M469" s="4">
        <v>4.87</v>
      </c>
      <c r="N469" s="4">
        <v>4.87</v>
      </c>
      <c r="O469" s="4">
        <v>4.87</v>
      </c>
      <c r="P469" s="4">
        <v>10</v>
      </c>
      <c r="Q469" s="3" t="s">
        <v>26</v>
      </c>
      <c r="R469" s="3">
        <v>0</v>
      </c>
      <c r="S469" s="3" t="s">
        <v>245</v>
      </c>
      <c r="T469" s="3" t="s">
        <v>382</v>
      </c>
      <c r="U469" s="3">
        <v>0</v>
      </c>
      <c r="V469" s="3">
        <v>26</v>
      </c>
      <c r="W469" s="3">
        <v>81</v>
      </c>
    </row>
    <row r="470" spans="1:23" ht="11.25" customHeight="1" x14ac:dyDescent="0.25">
      <c r="A470" s="3" t="s">
        <v>21</v>
      </c>
      <c r="B470" s="3" t="s">
        <v>33</v>
      </c>
      <c r="C470" s="3" t="s">
        <v>23</v>
      </c>
      <c r="D470" s="3" t="s">
        <v>42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44713</v>
      </c>
      <c r="J470" s="4">
        <v>0</v>
      </c>
      <c r="K470" s="4">
        <v>0</v>
      </c>
      <c r="L470" s="4">
        <v>4.2720000000000002</v>
      </c>
      <c r="M470" s="4">
        <v>4.2720000000000002</v>
      </c>
      <c r="N470" s="4">
        <v>4.2720000000000002</v>
      </c>
      <c r="O470" s="4">
        <v>4.2720000000000002</v>
      </c>
      <c r="P470" s="4">
        <v>10</v>
      </c>
      <c r="Q470" s="3" t="s">
        <v>26</v>
      </c>
      <c r="R470" s="3">
        <v>0</v>
      </c>
      <c r="S470" s="3" t="s">
        <v>246</v>
      </c>
      <c r="T470" s="3" t="s">
        <v>383</v>
      </c>
      <c r="U470" s="3">
        <v>0</v>
      </c>
      <c r="V470" s="3">
        <v>26</v>
      </c>
      <c r="W470" s="3">
        <v>81</v>
      </c>
    </row>
    <row r="471" spans="1:23" ht="11.25" customHeight="1" x14ac:dyDescent="0.25">
      <c r="A471" s="3" t="s">
        <v>21</v>
      </c>
      <c r="B471" s="3" t="s">
        <v>33</v>
      </c>
      <c r="C471" s="3" t="s">
        <v>23</v>
      </c>
      <c r="D471" s="3" t="s">
        <v>42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44743</v>
      </c>
      <c r="J471" s="4">
        <v>0</v>
      </c>
      <c r="K471" s="4">
        <v>0</v>
      </c>
      <c r="L471" s="4">
        <v>4.202</v>
      </c>
      <c r="M471" s="4">
        <v>4.202</v>
      </c>
      <c r="N471" s="4">
        <v>4.202</v>
      </c>
      <c r="O471" s="4">
        <v>4.202</v>
      </c>
      <c r="P471" s="4">
        <v>10</v>
      </c>
      <c r="Q471" s="3" t="s">
        <v>26</v>
      </c>
      <c r="R471" s="3">
        <v>0</v>
      </c>
      <c r="S471" s="3" t="s">
        <v>247</v>
      </c>
      <c r="T471" s="3" t="s">
        <v>384</v>
      </c>
      <c r="U471" s="3">
        <v>0</v>
      </c>
      <c r="V471" s="3">
        <v>26</v>
      </c>
      <c r="W471" s="3">
        <v>81</v>
      </c>
    </row>
    <row r="472" spans="1:23" ht="11.25" customHeight="1" x14ac:dyDescent="0.25">
      <c r="A472" s="3" t="s">
        <v>21</v>
      </c>
      <c r="B472" s="3" t="s">
        <v>33</v>
      </c>
      <c r="C472" s="3" t="s">
        <v>23</v>
      </c>
      <c r="D472" s="3" t="s">
        <v>42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44774</v>
      </c>
      <c r="J472" s="4">
        <v>0</v>
      </c>
      <c r="K472" s="4">
        <v>0</v>
      </c>
      <c r="L472" s="4">
        <v>3.2839999999999998</v>
      </c>
      <c r="M472" s="4">
        <v>3.2839999999999998</v>
      </c>
      <c r="N472" s="4">
        <v>3.2839999999999998</v>
      </c>
      <c r="O472" s="4">
        <v>3.2839999999999998</v>
      </c>
      <c r="P472" s="4">
        <v>10</v>
      </c>
      <c r="Q472" s="3" t="s">
        <v>26</v>
      </c>
      <c r="R472" s="3">
        <v>0</v>
      </c>
      <c r="S472" s="3" t="s">
        <v>248</v>
      </c>
      <c r="T472" s="3" t="s">
        <v>385</v>
      </c>
      <c r="U472" s="3">
        <v>0</v>
      </c>
      <c r="V472" s="3">
        <v>26</v>
      </c>
      <c r="W472" s="3">
        <v>81</v>
      </c>
    </row>
    <row r="473" spans="1:23" ht="11.25" customHeight="1" x14ac:dyDescent="0.25">
      <c r="A473" s="3" t="s">
        <v>21</v>
      </c>
      <c r="B473" s="3" t="s">
        <v>33</v>
      </c>
      <c r="C473" s="3" t="s">
        <v>23</v>
      </c>
      <c r="D473" s="3" t="s">
        <v>47</v>
      </c>
      <c r="E473" s="3" t="s">
        <v>48</v>
      </c>
      <c r="F473" s="3" t="s">
        <v>25</v>
      </c>
      <c r="G473" s="3" t="s">
        <v>25</v>
      </c>
      <c r="H473" s="3" t="s">
        <v>25</v>
      </c>
      <c r="I473" s="6">
        <v>44440</v>
      </c>
      <c r="J473" s="4">
        <v>0</v>
      </c>
      <c r="K473" s="4">
        <v>0</v>
      </c>
      <c r="L473" s="4">
        <v>17.684000000000001</v>
      </c>
      <c r="M473" s="4">
        <v>16.622959999999999</v>
      </c>
      <c r="N473" s="4">
        <v>17.684000000000001</v>
      </c>
      <c r="O473" s="4">
        <v>16.622959999999999</v>
      </c>
      <c r="P473" s="4">
        <v>5</v>
      </c>
      <c r="Q473" s="3" t="s">
        <v>26</v>
      </c>
      <c r="R473" s="3">
        <v>0</v>
      </c>
      <c r="S473" s="3" t="s">
        <v>237</v>
      </c>
      <c r="T473" s="3" t="s">
        <v>374</v>
      </c>
      <c r="U473" s="3">
        <v>0</v>
      </c>
      <c r="V473" s="3">
        <v>26</v>
      </c>
      <c r="W473" s="3">
        <v>81</v>
      </c>
    </row>
    <row r="474" spans="1:23" ht="11.25" customHeight="1" x14ac:dyDescent="0.25">
      <c r="A474" s="3" t="s">
        <v>21</v>
      </c>
      <c r="B474" s="3" t="s">
        <v>33</v>
      </c>
      <c r="C474" s="3" t="s">
        <v>23</v>
      </c>
      <c r="D474" s="3" t="s">
        <v>47</v>
      </c>
      <c r="E474" s="3" t="s">
        <v>48</v>
      </c>
      <c r="F474" s="3" t="s">
        <v>25</v>
      </c>
      <c r="G474" s="3" t="s">
        <v>25</v>
      </c>
      <c r="H474" s="3" t="s">
        <v>25</v>
      </c>
      <c r="I474" s="6">
        <v>44470</v>
      </c>
      <c r="J474" s="4">
        <v>0</v>
      </c>
      <c r="K474" s="4">
        <v>0</v>
      </c>
      <c r="L474" s="4">
        <v>15.346</v>
      </c>
      <c r="M474" s="4">
        <v>14.425239999999999</v>
      </c>
      <c r="N474" s="4">
        <v>15.346</v>
      </c>
      <c r="O474" s="4">
        <v>14.425239999999999</v>
      </c>
      <c r="P474" s="4">
        <v>5</v>
      </c>
      <c r="Q474" s="3" t="s">
        <v>26</v>
      </c>
      <c r="R474" s="3">
        <v>0</v>
      </c>
      <c r="S474" s="3" t="s">
        <v>238</v>
      </c>
      <c r="T474" s="3" t="s">
        <v>375</v>
      </c>
      <c r="U474" s="3">
        <v>0</v>
      </c>
      <c r="V474" s="3">
        <v>26</v>
      </c>
      <c r="W474" s="3">
        <v>81</v>
      </c>
    </row>
    <row r="475" spans="1:23" ht="11.25" customHeight="1" x14ac:dyDescent="0.25">
      <c r="A475" s="3" t="s">
        <v>21</v>
      </c>
      <c r="B475" s="3" t="s">
        <v>33</v>
      </c>
      <c r="C475" s="3" t="s">
        <v>23</v>
      </c>
      <c r="D475" s="3" t="s">
        <v>47</v>
      </c>
      <c r="E475" s="3" t="s">
        <v>48</v>
      </c>
      <c r="F475" s="3" t="s">
        <v>25</v>
      </c>
      <c r="G475" s="3" t="s">
        <v>25</v>
      </c>
      <c r="H475" s="3" t="s">
        <v>25</v>
      </c>
      <c r="I475" s="6">
        <v>44501</v>
      </c>
      <c r="J475" s="4">
        <v>0</v>
      </c>
      <c r="K475" s="4">
        <v>0</v>
      </c>
      <c r="L475" s="4">
        <v>14.811</v>
      </c>
      <c r="M475" s="4">
        <v>13.92234</v>
      </c>
      <c r="N475" s="4">
        <v>14.811</v>
      </c>
      <c r="O475" s="4">
        <v>13.92234</v>
      </c>
      <c r="P475" s="4">
        <v>5</v>
      </c>
      <c r="Q475" s="3" t="s">
        <v>26</v>
      </c>
      <c r="R475" s="3">
        <v>0</v>
      </c>
      <c r="S475" s="3" t="s">
        <v>239</v>
      </c>
      <c r="T475" s="3" t="s">
        <v>376</v>
      </c>
      <c r="U475" s="3">
        <v>0</v>
      </c>
      <c r="V475" s="3">
        <v>26</v>
      </c>
      <c r="W475" s="3">
        <v>81</v>
      </c>
    </row>
    <row r="476" spans="1:23" ht="11.25" customHeight="1" x14ac:dyDescent="0.25">
      <c r="A476" s="3" t="s">
        <v>21</v>
      </c>
      <c r="B476" s="3" t="s">
        <v>33</v>
      </c>
      <c r="C476" s="3" t="s">
        <v>23</v>
      </c>
      <c r="D476" s="3" t="s">
        <v>47</v>
      </c>
      <c r="E476" s="3" t="s">
        <v>48</v>
      </c>
      <c r="F476" s="3" t="s">
        <v>25</v>
      </c>
      <c r="G476" s="3" t="s">
        <v>25</v>
      </c>
      <c r="H476" s="3" t="s">
        <v>25</v>
      </c>
      <c r="I476" s="6">
        <v>44531</v>
      </c>
      <c r="J476" s="4">
        <v>0</v>
      </c>
      <c r="K476" s="4">
        <v>0</v>
      </c>
      <c r="L476" s="4">
        <v>16.407</v>
      </c>
      <c r="M476" s="4">
        <v>15.42258</v>
      </c>
      <c r="N476" s="4">
        <v>16.407</v>
      </c>
      <c r="O476" s="4">
        <v>15.42258</v>
      </c>
      <c r="P476" s="4">
        <v>5</v>
      </c>
      <c r="Q476" s="3" t="s">
        <v>26</v>
      </c>
      <c r="R476" s="3">
        <v>0</v>
      </c>
      <c r="S476" s="3" t="s">
        <v>240</v>
      </c>
      <c r="T476" s="3" t="s">
        <v>377</v>
      </c>
      <c r="U476" s="3">
        <v>0</v>
      </c>
      <c r="V476" s="3">
        <v>26</v>
      </c>
      <c r="W476" s="3">
        <v>81</v>
      </c>
    </row>
    <row r="477" spans="1:23" ht="11.25" customHeight="1" x14ac:dyDescent="0.25">
      <c r="A477" s="3" t="s">
        <v>21</v>
      </c>
      <c r="B477" s="3" t="s">
        <v>33</v>
      </c>
      <c r="C477" s="3" t="s">
        <v>23</v>
      </c>
      <c r="D477" s="3" t="s">
        <v>47</v>
      </c>
      <c r="E477" s="3" t="s">
        <v>48</v>
      </c>
      <c r="F477" s="3" t="s">
        <v>25</v>
      </c>
      <c r="G477" s="3" t="s">
        <v>25</v>
      </c>
      <c r="H477" s="3" t="s">
        <v>25</v>
      </c>
      <c r="I477" s="6">
        <v>44562</v>
      </c>
      <c r="J477" s="4">
        <v>0</v>
      </c>
      <c r="K477" s="4">
        <v>0</v>
      </c>
      <c r="L477" s="4">
        <v>16.094000000000001</v>
      </c>
      <c r="M477" s="4">
        <v>15.128360000000001</v>
      </c>
      <c r="N477" s="4">
        <v>16.094000000000001</v>
      </c>
      <c r="O477" s="4">
        <v>15.128360000000001</v>
      </c>
      <c r="P477" s="4">
        <v>5</v>
      </c>
      <c r="Q477" s="3" t="s">
        <v>26</v>
      </c>
      <c r="R477" s="3">
        <v>0</v>
      </c>
      <c r="S477" s="3" t="s">
        <v>241</v>
      </c>
      <c r="T477" s="3" t="s">
        <v>378</v>
      </c>
      <c r="U477" s="3">
        <v>0</v>
      </c>
      <c r="V477" s="3">
        <v>26</v>
      </c>
      <c r="W477" s="3">
        <v>81</v>
      </c>
    </row>
    <row r="478" spans="1:23" ht="11.25" customHeight="1" x14ac:dyDescent="0.25">
      <c r="A478" s="3" t="s">
        <v>21</v>
      </c>
      <c r="B478" s="3" t="s">
        <v>33</v>
      </c>
      <c r="C478" s="3" t="s">
        <v>23</v>
      </c>
      <c r="D478" s="3" t="s">
        <v>47</v>
      </c>
      <c r="E478" s="3" t="s">
        <v>48</v>
      </c>
      <c r="F478" s="3" t="s">
        <v>25</v>
      </c>
      <c r="G478" s="3" t="s">
        <v>25</v>
      </c>
      <c r="H478" s="3" t="s">
        <v>25</v>
      </c>
      <c r="I478" s="6">
        <v>44593</v>
      </c>
      <c r="J478" s="4">
        <v>0</v>
      </c>
      <c r="K478" s="4">
        <v>0</v>
      </c>
      <c r="L478" s="4">
        <v>17.323</v>
      </c>
      <c r="M478" s="4">
        <v>16.283619999999999</v>
      </c>
      <c r="N478" s="4">
        <v>17.323</v>
      </c>
      <c r="O478" s="4">
        <v>16.283619999999999</v>
      </c>
      <c r="P478" s="4">
        <v>5</v>
      </c>
      <c r="Q478" s="3" t="s">
        <v>26</v>
      </c>
      <c r="R478" s="3">
        <v>0</v>
      </c>
      <c r="S478" s="3" t="s">
        <v>242</v>
      </c>
      <c r="T478" s="3" t="s">
        <v>379</v>
      </c>
      <c r="U478" s="3">
        <v>0</v>
      </c>
      <c r="V478" s="3">
        <v>26</v>
      </c>
      <c r="W478" s="3">
        <v>81</v>
      </c>
    </row>
    <row r="479" spans="1:23" ht="11.25" customHeight="1" x14ac:dyDescent="0.25">
      <c r="A479" s="3" t="s">
        <v>21</v>
      </c>
      <c r="B479" s="3" t="s">
        <v>33</v>
      </c>
      <c r="C479" s="3" t="s">
        <v>23</v>
      </c>
      <c r="D479" s="3" t="s">
        <v>47</v>
      </c>
      <c r="E479" s="3" t="s">
        <v>48</v>
      </c>
      <c r="F479" s="3" t="s">
        <v>25</v>
      </c>
      <c r="G479" s="3" t="s">
        <v>25</v>
      </c>
      <c r="H479" s="3" t="s">
        <v>25</v>
      </c>
      <c r="I479" s="6">
        <v>44621</v>
      </c>
      <c r="J479" s="4">
        <v>0</v>
      </c>
      <c r="K479" s="4">
        <v>0</v>
      </c>
      <c r="L479" s="4">
        <v>17.771999999999998</v>
      </c>
      <c r="M479" s="4">
        <v>16.705680000000001</v>
      </c>
      <c r="N479" s="4">
        <v>17.771999999999998</v>
      </c>
      <c r="O479" s="4">
        <v>16.705680000000001</v>
      </c>
      <c r="P479" s="4">
        <v>5</v>
      </c>
      <c r="Q479" s="3" t="s">
        <v>26</v>
      </c>
      <c r="R479" s="3">
        <v>0</v>
      </c>
      <c r="S479" s="3" t="s">
        <v>243</v>
      </c>
      <c r="T479" s="3" t="s">
        <v>380</v>
      </c>
      <c r="U479" s="3">
        <v>0</v>
      </c>
      <c r="V479" s="3">
        <v>26</v>
      </c>
      <c r="W479" s="3">
        <v>81</v>
      </c>
    </row>
    <row r="480" spans="1:23" ht="11.25" customHeight="1" x14ac:dyDescent="0.25">
      <c r="A480" s="3" t="s">
        <v>21</v>
      </c>
      <c r="B480" s="3" t="s">
        <v>33</v>
      </c>
      <c r="C480" s="3" t="s">
        <v>23</v>
      </c>
      <c r="D480" s="3" t="s">
        <v>47</v>
      </c>
      <c r="E480" s="3" t="s">
        <v>48</v>
      </c>
      <c r="F480" s="3" t="s">
        <v>25</v>
      </c>
      <c r="G480" s="3" t="s">
        <v>25</v>
      </c>
      <c r="H480" s="3" t="s">
        <v>25</v>
      </c>
      <c r="I480" s="6">
        <v>44652</v>
      </c>
      <c r="J480" s="4">
        <v>0</v>
      </c>
      <c r="K480" s="4">
        <v>0</v>
      </c>
      <c r="L480" s="4">
        <v>15.797000000000001</v>
      </c>
      <c r="M480" s="4">
        <v>14.84918</v>
      </c>
      <c r="N480" s="4">
        <v>15.797000000000001</v>
      </c>
      <c r="O480" s="4">
        <v>14.84918</v>
      </c>
      <c r="P480" s="4">
        <v>5</v>
      </c>
      <c r="Q480" s="3" t="s">
        <v>26</v>
      </c>
      <c r="R480" s="3">
        <v>0</v>
      </c>
      <c r="S480" s="3" t="s">
        <v>244</v>
      </c>
      <c r="T480" s="3" t="s">
        <v>381</v>
      </c>
      <c r="U480" s="3">
        <v>0</v>
      </c>
      <c r="V480" s="3">
        <v>26</v>
      </c>
      <c r="W480" s="3">
        <v>81</v>
      </c>
    </row>
    <row r="481" spans="1:23" ht="11.25" customHeight="1" x14ac:dyDescent="0.25">
      <c r="A481" s="3" t="s">
        <v>21</v>
      </c>
      <c r="B481" s="3" t="s">
        <v>33</v>
      </c>
      <c r="C481" s="3" t="s">
        <v>23</v>
      </c>
      <c r="D481" s="3" t="s">
        <v>47</v>
      </c>
      <c r="E481" s="3" t="s">
        <v>48</v>
      </c>
      <c r="F481" s="3" t="s">
        <v>25</v>
      </c>
      <c r="G481" s="3" t="s">
        <v>25</v>
      </c>
      <c r="H481" s="3" t="s">
        <v>25</v>
      </c>
      <c r="I481" s="6">
        <v>44682</v>
      </c>
      <c r="J481" s="4">
        <v>0</v>
      </c>
      <c r="K481" s="4">
        <v>0</v>
      </c>
      <c r="L481" s="4">
        <v>16.427</v>
      </c>
      <c r="M481" s="4">
        <v>15.441380000000001</v>
      </c>
      <c r="N481" s="4">
        <v>16.427</v>
      </c>
      <c r="O481" s="4">
        <v>15.441380000000001</v>
      </c>
      <c r="P481" s="4">
        <v>5</v>
      </c>
      <c r="Q481" s="3" t="s">
        <v>26</v>
      </c>
      <c r="R481" s="3">
        <v>0</v>
      </c>
      <c r="S481" s="3" t="s">
        <v>245</v>
      </c>
      <c r="T481" s="3" t="s">
        <v>382</v>
      </c>
      <c r="U481" s="3">
        <v>0</v>
      </c>
      <c r="V481" s="3">
        <v>26</v>
      </c>
      <c r="W481" s="3">
        <v>81</v>
      </c>
    </row>
    <row r="482" spans="1:23" ht="11.25" customHeight="1" x14ac:dyDescent="0.25">
      <c r="A482" s="3" t="s">
        <v>21</v>
      </c>
      <c r="B482" s="3" t="s">
        <v>33</v>
      </c>
      <c r="C482" s="3" t="s">
        <v>23</v>
      </c>
      <c r="D482" s="3" t="s">
        <v>47</v>
      </c>
      <c r="E482" s="3" t="s">
        <v>48</v>
      </c>
      <c r="F482" s="3" t="s">
        <v>25</v>
      </c>
      <c r="G482" s="3" t="s">
        <v>25</v>
      </c>
      <c r="H482" s="3" t="s">
        <v>25</v>
      </c>
      <c r="I482" s="6">
        <v>44713</v>
      </c>
      <c r="J482" s="4">
        <v>0</v>
      </c>
      <c r="K482" s="4">
        <v>0</v>
      </c>
      <c r="L482" s="4">
        <v>17.219000000000001</v>
      </c>
      <c r="M482" s="4">
        <v>16.185860000000002</v>
      </c>
      <c r="N482" s="4">
        <v>17.219000000000001</v>
      </c>
      <c r="O482" s="4">
        <v>16.185860000000002</v>
      </c>
      <c r="P482" s="4">
        <v>5</v>
      </c>
      <c r="Q482" s="3" t="s">
        <v>26</v>
      </c>
      <c r="R482" s="3">
        <v>0</v>
      </c>
      <c r="S482" s="3" t="s">
        <v>246</v>
      </c>
      <c r="T482" s="3" t="s">
        <v>383</v>
      </c>
      <c r="U482" s="3">
        <v>0</v>
      </c>
      <c r="V482" s="3">
        <v>26</v>
      </c>
      <c r="W482" s="3">
        <v>81</v>
      </c>
    </row>
    <row r="483" spans="1:23" ht="11.25" customHeight="1" x14ac:dyDescent="0.25">
      <c r="A483" s="3" t="s">
        <v>21</v>
      </c>
      <c r="B483" s="3" t="s">
        <v>33</v>
      </c>
      <c r="C483" s="3" t="s">
        <v>23</v>
      </c>
      <c r="D483" s="3" t="s">
        <v>47</v>
      </c>
      <c r="E483" s="3" t="s">
        <v>48</v>
      </c>
      <c r="F483" s="3" t="s">
        <v>25</v>
      </c>
      <c r="G483" s="3" t="s">
        <v>25</v>
      </c>
      <c r="H483" s="3" t="s">
        <v>25</v>
      </c>
      <c r="I483" s="6">
        <v>44743</v>
      </c>
      <c r="J483" s="4">
        <v>0</v>
      </c>
      <c r="K483" s="4">
        <v>0</v>
      </c>
      <c r="L483" s="4">
        <v>16.811</v>
      </c>
      <c r="M483" s="4">
        <v>15.802339999999999</v>
      </c>
      <c r="N483" s="4">
        <v>16.811</v>
      </c>
      <c r="O483" s="4">
        <v>15.802339999999999</v>
      </c>
      <c r="P483" s="4">
        <v>5</v>
      </c>
      <c r="Q483" s="3" t="s">
        <v>26</v>
      </c>
      <c r="R483" s="3">
        <v>0</v>
      </c>
      <c r="S483" s="3" t="s">
        <v>247</v>
      </c>
      <c r="T483" s="3" t="s">
        <v>384</v>
      </c>
      <c r="U483" s="3">
        <v>0</v>
      </c>
      <c r="V483" s="3">
        <v>26</v>
      </c>
      <c r="W483" s="3">
        <v>81</v>
      </c>
    </row>
    <row r="484" spans="1:23" ht="11.25" customHeight="1" x14ac:dyDescent="0.25">
      <c r="A484" s="3" t="s">
        <v>21</v>
      </c>
      <c r="B484" s="3" t="s">
        <v>33</v>
      </c>
      <c r="C484" s="3" t="s">
        <v>23</v>
      </c>
      <c r="D484" s="3" t="s">
        <v>47</v>
      </c>
      <c r="E484" s="3" t="s">
        <v>48</v>
      </c>
      <c r="F484" s="3" t="s">
        <v>25</v>
      </c>
      <c r="G484" s="3" t="s">
        <v>25</v>
      </c>
      <c r="H484" s="3" t="s">
        <v>25</v>
      </c>
      <c r="I484" s="6">
        <v>44774</v>
      </c>
      <c r="J484" s="4">
        <v>0</v>
      </c>
      <c r="K484" s="4">
        <v>0</v>
      </c>
      <c r="L484" s="4">
        <v>17.783000000000001</v>
      </c>
      <c r="M484" s="4">
        <v>16.71602</v>
      </c>
      <c r="N484" s="4">
        <v>17.783000000000001</v>
      </c>
      <c r="O484" s="4">
        <v>16.71602</v>
      </c>
      <c r="P484" s="4">
        <v>5</v>
      </c>
      <c r="Q484" s="3" t="s">
        <v>26</v>
      </c>
      <c r="R484" s="3">
        <v>0</v>
      </c>
      <c r="S484" s="3" t="s">
        <v>248</v>
      </c>
      <c r="T484" s="3" t="s">
        <v>385</v>
      </c>
      <c r="U484" s="3">
        <v>0</v>
      </c>
      <c r="V484" s="3">
        <v>26</v>
      </c>
      <c r="W484" s="3">
        <v>81</v>
      </c>
    </row>
    <row r="485" spans="1:23" ht="11.25" customHeight="1" x14ac:dyDescent="0.25">
      <c r="A485" s="3" t="s">
        <v>21</v>
      </c>
      <c r="B485" s="3" t="s">
        <v>43</v>
      </c>
      <c r="C485" s="3" t="s">
        <v>23</v>
      </c>
      <c r="D485" s="3" t="s">
        <v>44</v>
      </c>
      <c r="E485" s="3" t="s">
        <v>45</v>
      </c>
      <c r="F485" s="3" t="s">
        <v>25</v>
      </c>
      <c r="G485" s="3" t="s">
        <v>25</v>
      </c>
      <c r="H485" s="3" t="s">
        <v>25</v>
      </c>
      <c r="I485" s="6">
        <v>44440</v>
      </c>
      <c r="J485" s="4">
        <v>0</v>
      </c>
      <c r="K485" s="4">
        <v>0</v>
      </c>
      <c r="L485" s="4">
        <v>63.576000000000001</v>
      </c>
      <c r="M485" s="4">
        <v>63.576000000000001</v>
      </c>
      <c r="N485" s="4">
        <v>63.576000000000001</v>
      </c>
      <c r="O485" s="4">
        <v>63.576000000000001</v>
      </c>
      <c r="P485" s="4">
        <v>4</v>
      </c>
      <c r="Q485" s="3" t="s">
        <v>26</v>
      </c>
      <c r="R485" s="3">
        <v>0</v>
      </c>
      <c r="S485" s="3" t="s">
        <v>249</v>
      </c>
      <c r="T485" s="3" t="s">
        <v>386</v>
      </c>
      <c r="U485" s="3">
        <v>0</v>
      </c>
      <c r="V485" s="3">
        <v>58</v>
      </c>
      <c r="W485" s="3">
        <v>83</v>
      </c>
    </row>
    <row r="486" spans="1:23" ht="11.25" customHeight="1" x14ac:dyDescent="0.25">
      <c r="A486" s="3" t="s">
        <v>21</v>
      </c>
      <c r="B486" s="3" t="s">
        <v>43</v>
      </c>
      <c r="C486" s="3" t="s">
        <v>23</v>
      </c>
      <c r="D486" s="3" t="s">
        <v>44</v>
      </c>
      <c r="E486" s="3" t="s">
        <v>45</v>
      </c>
      <c r="F486" s="3" t="s">
        <v>25</v>
      </c>
      <c r="G486" s="3" t="s">
        <v>25</v>
      </c>
      <c r="H486" s="3" t="s">
        <v>25</v>
      </c>
      <c r="I486" s="6">
        <v>44470</v>
      </c>
      <c r="J486" s="4">
        <v>0</v>
      </c>
      <c r="K486" s="4">
        <v>0</v>
      </c>
      <c r="L486" s="4">
        <v>65.489000000000004</v>
      </c>
      <c r="M486" s="4">
        <v>65.489000000000004</v>
      </c>
      <c r="N486" s="4">
        <v>65.489000000000004</v>
      </c>
      <c r="O486" s="4">
        <v>65.489000000000004</v>
      </c>
      <c r="P486" s="4">
        <v>4</v>
      </c>
      <c r="Q486" s="3" t="s">
        <v>26</v>
      </c>
      <c r="R486" s="3">
        <v>0</v>
      </c>
      <c r="S486" s="3" t="s">
        <v>250</v>
      </c>
      <c r="T486" s="3" t="s">
        <v>387</v>
      </c>
      <c r="U486" s="3">
        <v>0</v>
      </c>
      <c r="V486" s="3">
        <v>58</v>
      </c>
      <c r="W486" s="3">
        <v>83</v>
      </c>
    </row>
    <row r="487" spans="1:23" ht="11.25" customHeight="1" x14ac:dyDescent="0.25">
      <c r="A487" s="3" t="s">
        <v>21</v>
      </c>
      <c r="B487" s="3" t="s">
        <v>43</v>
      </c>
      <c r="C487" s="3" t="s">
        <v>23</v>
      </c>
      <c r="D487" s="3" t="s">
        <v>44</v>
      </c>
      <c r="E487" s="3" t="s">
        <v>45</v>
      </c>
      <c r="F487" s="3" t="s">
        <v>25</v>
      </c>
      <c r="G487" s="3" t="s">
        <v>25</v>
      </c>
      <c r="H487" s="3" t="s">
        <v>25</v>
      </c>
      <c r="I487" s="6">
        <v>44501</v>
      </c>
      <c r="J487" s="4">
        <v>0</v>
      </c>
      <c r="K487" s="4">
        <v>0</v>
      </c>
      <c r="L487" s="4">
        <v>65.093000000000004</v>
      </c>
      <c r="M487" s="4">
        <v>65.093000000000004</v>
      </c>
      <c r="N487" s="4">
        <v>65.093000000000004</v>
      </c>
      <c r="O487" s="4">
        <v>65.093000000000004</v>
      </c>
      <c r="P487" s="4">
        <v>5</v>
      </c>
      <c r="Q487" s="3" t="s">
        <v>26</v>
      </c>
      <c r="R487" s="3">
        <v>0</v>
      </c>
      <c r="S487" s="3" t="s">
        <v>251</v>
      </c>
      <c r="T487" s="3" t="s">
        <v>388</v>
      </c>
      <c r="U487" s="3">
        <v>0</v>
      </c>
      <c r="V487" s="3">
        <v>58</v>
      </c>
      <c r="W487" s="3">
        <v>83</v>
      </c>
    </row>
    <row r="488" spans="1:23" ht="11.25" customHeight="1" x14ac:dyDescent="0.25">
      <c r="A488" s="3" t="s">
        <v>21</v>
      </c>
      <c r="B488" s="3" t="s">
        <v>43</v>
      </c>
      <c r="C488" s="3" t="s">
        <v>23</v>
      </c>
      <c r="D488" s="3" t="s">
        <v>44</v>
      </c>
      <c r="E488" s="3" t="s">
        <v>45</v>
      </c>
      <c r="F488" s="3" t="s">
        <v>25</v>
      </c>
      <c r="G488" s="3" t="s">
        <v>25</v>
      </c>
      <c r="H488" s="3" t="s">
        <v>25</v>
      </c>
      <c r="I488" s="6">
        <v>44531</v>
      </c>
      <c r="J488" s="4">
        <v>0</v>
      </c>
      <c r="K488" s="4">
        <v>0</v>
      </c>
      <c r="L488" s="4">
        <v>66.756</v>
      </c>
      <c r="M488" s="4">
        <v>66.756</v>
      </c>
      <c r="N488" s="4">
        <v>66.756</v>
      </c>
      <c r="O488" s="4">
        <v>66.756</v>
      </c>
      <c r="P488" s="4">
        <v>5</v>
      </c>
      <c r="Q488" s="3" t="s">
        <v>26</v>
      </c>
      <c r="R488" s="3">
        <v>0</v>
      </c>
      <c r="S488" s="3" t="s">
        <v>252</v>
      </c>
      <c r="T488" s="3" t="s">
        <v>389</v>
      </c>
      <c r="U488" s="3">
        <v>0</v>
      </c>
      <c r="V488" s="3">
        <v>58</v>
      </c>
      <c r="W488" s="3">
        <v>83</v>
      </c>
    </row>
    <row r="489" spans="1:23" ht="11.25" customHeight="1" x14ac:dyDescent="0.25">
      <c r="A489" s="3" t="s">
        <v>21</v>
      </c>
      <c r="B489" s="3" t="s">
        <v>43</v>
      </c>
      <c r="C489" s="3" t="s">
        <v>23</v>
      </c>
      <c r="D489" s="3" t="s">
        <v>44</v>
      </c>
      <c r="E489" s="3" t="s">
        <v>45</v>
      </c>
      <c r="F489" s="3" t="s">
        <v>25</v>
      </c>
      <c r="G489" s="3" t="s">
        <v>25</v>
      </c>
      <c r="H489" s="3" t="s">
        <v>25</v>
      </c>
      <c r="I489" s="6">
        <v>44562</v>
      </c>
      <c r="J489" s="4">
        <v>0</v>
      </c>
      <c r="K489" s="4">
        <v>0</v>
      </c>
      <c r="L489" s="4">
        <v>66.445999999999998</v>
      </c>
      <c r="M489" s="4">
        <v>66.445999999999998</v>
      </c>
      <c r="N489" s="4">
        <v>66.445999999999998</v>
      </c>
      <c r="O489" s="4">
        <v>66.445999999999998</v>
      </c>
      <c r="P489" s="4">
        <v>5</v>
      </c>
      <c r="Q489" s="3" t="s">
        <v>26</v>
      </c>
      <c r="R489" s="3">
        <v>0</v>
      </c>
      <c r="S489" s="3" t="s">
        <v>253</v>
      </c>
      <c r="T489" s="3" t="s">
        <v>390</v>
      </c>
      <c r="U489" s="3">
        <v>0</v>
      </c>
      <c r="V489" s="3">
        <v>58</v>
      </c>
      <c r="W489" s="3">
        <v>83</v>
      </c>
    </row>
    <row r="490" spans="1:23" ht="11.25" customHeight="1" x14ac:dyDescent="0.25">
      <c r="A490" s="3" t="s">
        <v>21</v>
      </c>
      <c r="B490" s="3" t="s">
        <v>43</v>
      </c>
      <c r="C490" s="3" t="s">
        <v>23</v>
      </c>
      <c r="D490" s="3" t="s">
        <v>44</v>
      </c>
      <c r="E490" s="3" t="s">
        <v>45</v>
      </c>
      <c r="F490" s="3" t="s">
        <v>25</v>
      </c>
      <c r="G490" s="3" t="s">
        <v>25</v>
      </c>
      <c r="H490" s="3" t="s">
        <v>25</v>
      </c>
      <c r="I490" s="6">
        <v>44593</v>
      </c>
      <c r="J490" s="4">
        <v>0</v>
      </c>
      <c r="K490" s="4">
        <v>0</v>
      </c>
      <c r="L490" s="4">
        <v>60.360999999999997</v>
      </c>
      <c r="M490" s="4">
        <v>60.360999999999997</v>
      </c>
      <c r="N490" s="4">
        <v>60.360999999999997</v>
      </c>
      <c r="O490" s="4">
        <v>60.360999999999997</v>
      </c>
      <c r="P490" s="4">
        <v>4</v>
      </c>
      <c r="Q490" s="3" t="s">
        <v>26</v>
      </c>
      <c r="R490" s="3">
        <v>0</v>
      </c>
      <c r="S490" s="3" t="s">
        <v>254</v>
      </c>
      <c r="T490" s="3" t="s">
        <v>391</v>
      </c>
      <c r="U490" s="3">
        <v>0</v>
      </c>
      <c r="V490" s="3">
        <v>58</v>
      </c>
      <c r="W490" s="3">
        <v>83</v>
      </c>
    </row>
    <row r="491" spans="1:23" ht="11.25" customHeight="1" x14ac:dyDescent="0.25">
      <c r="A491" s="3" t="s">
        <v>21</v>
      </c>
      <c r="B491" s="3" t="s">
        <v>43</v>
      </c>
      <c r="C491" s="3" t="s">
        <v>23</v>
      </c>
      <c r="D491" s="3" t="s">
        <v>44</v>
      </c>
      <c r="E491" s="3" t="s">
        <v>45</v>
      </c>
      <c r="F491" s="3" t="s">
        <v>25</v>
      </c>
      <c r="G491" s="3" t="s">
        <v>25</v>
      </c>
      <c r="H491" s="3" t="s">
        <v>25</v>
      </c>
      <c r="I491" s="6">
        <v>44621</v>
      </c>
      <c r="J491" s="4">
        <v>0</v>
      </c>
      <c r="K491" s="4">
        <v>0</v>
      </c>
      <c r="L491" s="4">
        <v>66.873999999999995</v>
      </c>
      <c r="M491" s="4">
        <v>66.873999999999995</v>
      </c>
      <c r="N491" s="4">
        <v>66.873999999999995</v>
      </c>
      <c r="O491" s="4">
        <v>66.873999999999995</v>
      </c>
      <c r="P491" s="4">
        <v>5</v>
      </c>
      <c r="Q491" s="3" t="s">
        <v>26</v>
      </c>
      <c r="R491" s="3">
        <v>0</v>
      </c>
      <c r="S491" s="3" t="s">
        <v>255</v>
      </c>
      <c r="T491" s="3" t="s">
        <v>392</v>
      </c>
      <c r="U491" s="3">
        <v>0</v>
      </c>
      <c r="V491" s="3">
        <v>58</v>
      </c>
      <c r="W491" s="3">
        <v>83</v>
      </c>
    </row>
    <row r="492" spans="1:23" ht="11.25" customHeight="1" x14ac:dyDescent="0.25">
      <c r="A492" s="3" t="s">
        <v>21</v>
      </c>
      <c r="B492" s="3" t="s">
        <v>43</v>
      </c>
      <c r="C492" s="3" t="s">
        <v>23</v>
      </c>
      <c r="D492" s="3" t="s">
        <v>44</v>
      </c>
      <c r="E492" s="3" t="s">
        <v>45</v>
      </c>
      <c r="F492" s="3" t="s">
        <v>25</v>
      </c>
      <c r="G492" s="3" t="s">
        <v>25</v>
      </c>
      <c r="H492" s="3" t="s">
        <v>25</v>
      </c>
      <c r="I492" s="6">
        <v>44652</v>
      </c>
      <c r="J492" s="4">
        <v>0</v>
      </c>
      <c r="K492" s="4">
        <v>0</v>
      </c>
      <c r="L492" s="4">
        <v>66.096000000000004</v>
      </c>
      <c r="M492" s="4">
        <v>66.096000000000004</v>
      </c>
      <c r="N492" s="4">
        <v>66.096000000000004</v>
      </c>
      <c r="O492" s="4">
        <v>66.096000000000004</v>
      </c>
      <c r="P492" s="4">
        <v>5</v>
      </c>
      <c r="Q492" s="3" t="s">
        <v>26</v>
      </c>
      <c r="R492" s="3">
        <v>0</v>
      </c>
      <c r="S492" s="3" t="s">
        <v>256</v>
      </c>
      <c r="T492" s="3" t="s">
        <v>393</v>
      </c>
      <c r="U492" s="3">
        <v>0</v>
      </c>
      <c r="V492" s="3">
        <v>58</v>
      </c>
      <c r="W492" s="3">
        <v>83</v>
      </c>
    </row>
    <row r="493" spans="1:23" ht="11.25" customHeight="1" x14ac:dyDescent="0.25">
      <c r="A493" s="3" t="s">
        <v>21</v>
      </c>
      <c r="B493" s="3" t="s">
        <v>43</v>
      </c>
      <c r="C493" s="3" t="s">
        <v>23</v>
      </c>
      <c r="D493" s="3" t="s">
        <v>44</v>
      </c>
      <c r="E493" s="3" t="s">
        <v>45</v>
      </c>
      <c r="F493" s="3" t="s">
        <v>25</v>
      </c>
      <c r="G493" s="3" t="s">
        <v>25</v>
      </c>
      <c r="H493" s="3" t="s">
        <v>25</v>
      </c>
      <c r="I493" s="6">
        <v>44682</v>
      </c>
      <c r="J493" s="4">
        <v>0</v>
      </c>
      <c r="K493" s="4">
        <v>0</v>
      </c>
      <c r="L493" s="4">
        <v>67.013999999999996</v>
      </c>
      <c r="M493" s="4">
        <v>67.013999999999996</v>
      </c>
      <c r="N493" s="4">
        <v>67.013999999999996</v>
      </c>
      <c r="O493" s="4">
        <v>67.013999999999996</v>
      </c>
      <c r="P493" s="4">
        <v>5</v>
      </c>
      <c r="Q493" s="3" t="s">
        <v>26</v>
      </c>
      <c r="R493" s="3">
        <v>0</v>
      </c>
      <c r="S493" s="3" t="s">
        <v>257</v>
      </c>
      <c r="T493" s="3" t="s">
        <v>394</v>
      </c>
      <c r="U493" s="3">
        <v>0</v>
      </c>
      <c r="V493" s="3">
        <v>58</v>
      </c>
      <c r="W493" s="3">
        <v>83</v>
      </c>
    </row>
    <row r="494" spans="1:23" ht="11.25" customHeight="1" x14ac:dyDescent="0.25">
      <c r="A494" s="3" t="s">
        <v>21</v>
      </c>
      <c r="B494" s="3" t="s">
        <v>43</v>
      </c>
      <c r="C494" s="3" t="s">
        <v>23</v>
      </c>
      <c r="D494" s="3" t="s">
        <v>44</v>
      </c>
      <c r="E494" s="3" t="s">
        <v>45</v>
      </c>
      <c r="F494" s="3" t="s">
        <v>25</v>
      </c>
      <c r="G494" s="3" t="s">
        <v>25</v>
      </c>
      <c r="H494" s="3" t="s">
        <v>25</v>
      </c>
      <c r="I494" s="6">
        <v>44713</v>
      </c>
      <c r="J494" s="4">
        <v>0</v>
      </c>
      <c r="K494" s="4">
        <v>0</v>
      </c>
      <c r="L494" s="4">
        <v>64.759</v>
      </c>
      <c r="M494" s="4">
        <v>64.759</v>
      </c>
      <c r="N494" s="4">
        <v>64.759</v>
      </c>
      <c r="O494" s="4">
        <v>64.759</v>
      </c>
      <c r="P494" s="4">
        <v>5</v>
      </c>
      <c r="Q494" s="3" t="s">
        <v>26</v>
      </c>
      <c r="R494" s="3">
        <v>0</v>
      </c>
      <c r="S494" s="3" t="s">
        <v>258</v>
      </c>
      <c r="T494" s="3" t="s">
        <v>395</v>
      </c>
      <c r="U494" s="3">
        <v>0</v>
      </c>
      <c r="V494" s="3">
        <v>58</v>
      </c>
      <c r="W494" s="3">
        <v>83</v>
      </c>
    </row>
    <row r="495" spans="1:23" ht="11.25" customHeight="1" x14ac:dyDescent="0.25">
      <c r="A495" s="3" t="s">
        <v>21</v>
      </c>
      <c r="B495" s="3" t="s">
        <v>43</v>
      </c>
      <c r="C495" s="3" t="s">
        <v>23</v>
      </c>
      <c r="D495" s="3" t="s">
        <v>44</v>
      </c>
      <c r="E495" s="3" t="s">
        <v>45</v>
      </c>
      <c r="F495" s="3" t="s">
        <v>25</v>
      </c>
      <c r="G495" s="3" t="s">
        <v>25</v>
      </c>
      <c r="H495" s="3" t="s">
        <v>25</v>
      </c>
      <c r="I495" s="6">
        <v>44743</v>
      </c>
      <c r="J495" s="4">
        <v>0</v>
      </c>
      <c r="K495" s="4">
        <v>0</v>
      </c>
      <c r="L495" s="4">
        <v>66.870999999999995</v>
      </c>
      <c r="M495" s="4">
        <v>66.870999999999995</v>
      </c>
      <c r="N495" s="4">
        <v>66.870999999999995</v>
      </c>
      <c r="O495" s="4">
        <v>66.870999999999995</v>
      </c>
      <c r="P495" s="4">
        <v>5</v>
      </c>
      <c r="Q495" s="3" t="s">
        <v>26</v>
      </c>
      <c r="R495" s="3">
        <v>0</v>
      </c>
      <c r="S495" s="3" t="s">
        <v>259</v>
      </c>
      <c r="T495" s="3" t="s">
        <v>396</v>
      </c>
      <c r="U495" s="3">
        <v>0</v>
      </c>
      <c r="V495" s="3">
        <v>58</v>
      </c>
      <c r="W495" s="3">
        <v>83</v>
      </c>
    </row>
    <row r="496" spans="1:23" ht="11.25" customHeight="1" x14ac:dyDescent="0.25">
      <c r="A496" s="3" t="s">
        <v>21</v>
      </c>
      <c r="B496" s="3" t="s">
        <v>43</v>
      </c>
      <c r="C496" s="3" t="s">
        <v>23</v>
      </c>
      <c r="D496" s="3" t="s">
        <v>44</v>
      </c>
      <c r="E496" s="3" t="s">
        <v>45</v>
      </c>
      <c r="F496" s="3" t="s">
        <v>25</v>
      </c>
      <c r="G496" s="3" t="s">
        <v>25</v>
      </c>
      <c r="H496" s="3" t="s">
        <v>25</v>
      </c>
      <c r="I496" s="6">
        <v>44774</v>
      </c>
      <c r="J496" s="4">
        <v>0</v>
      </c>
      <c r="K496" s="4">
        <v>0</v>
      </c>
      <c r="L496" s="4">
        <v>66.802999999999997</v>
      </c>
      <c r="M496" s="4">
        <v>66.802999999999997</v>
      </c>
      <c r="N496" s="4">
        <v>66.802999999999997</v>
      </c>
      <c r="O496" s="4">
        <v>66.802999999999997</v>
      </c>
      <c r="P496" s="4">
        <v>5</v>
      </c>
      <c r="Q496" s="3" t="s">
        <v>26</v>
      </c>
      <c r="R496" s="3">
        <v>0</v>
      </c>
      <c r="S496" s="3" t="s">
        <v>260</v>
      </c>
      <c r="T496" s="3" t="s">
        <v>397</v>
      </c>
      <c r="U496" s="3">
        <v>0</v>
      </c>
      <c r="V496" s="3">
        <v>58</v>
      </c>
      <c r="W496" s="3">
        <v>83</v>
      </c>
    </row>
    <row r="497" spans="1:23" ht="11.25" customHeight="1" x14ac:dyDescent="0.25">
      <c r="A497" s="3" t="s">
        <v>21</v>
      </c>
      <c r="B497" s="3" t="s">
        <v>43</v>
      </c>
      <c r="C497" s="3" t="s">
        <v>23</v>
      </c>
      <c r="D497" s="3" t="s">
        <v>44</v>
      </c>
      <c r="E497" s="3" t="s">
        <v>46</v>
      </c>
      <c r="F497" s="3" t="s">
        <v>25</v>
      </c>
      <c r="G497" s="3" t="s">
        <v>25</v>
      </c>
      <c r="H497" s="3" t="s">
        <v>25</v>
      </c>
      <c r="I497" s="6">
        <v>44440</v>
      </c>
      <c r="J497" s="4">
        <v>0</v>
      </c>
      <c r="K497" s="4">
        <v>0</v>
      </c>
      <c r="L497" s="4">
        <v>2.0880000000000001</v>
      </c>
      <c r="M497" s="4">
        <v>2.0880000000000001</v>
      </c>
      <c r="N497" s="4">
        <v>2.0880000000000001</v>
      </c>
      <c r="O497" s="4">
        <v>2.0880000000000001</v>
      </c>
      <c r="P497" s="4">
        <v>2</v>
      </c>
      <c r="Q497" s="3" t="s">
        <v>26</v>
      </c>
      <c r="R497" s="3">
        <v>0</v>
      </c>
      <c r="S497" s="3" t="s">
        <v>261</v>
      </c>
      <c r="T497" s="3" t="s">
        <v>398</v>
      </c>
      <c r="U497" s="3">
        <v>0</v>
      </c>
      <c r="V497" s="3">
        <v>64</v>
      </c>
      <c r="W497" s="3">
        <v>84</v>
      </c>
    </row>
    <row r="498" spans="1:23" ht="11.25" customHeight="1" x14ac:dyDescent="0.25">
      <c r="A498" s="3" t="s">
        <v>21</v>
      </c>
      <c r="B498" s="3" t="s">
        <v>43</v>
      </c>
      <c r="C498" s="3" t="s">
        <v>23</v>
      </c>
      <c r="D498" s="3" t="s">
        <v>44</v>
      </c>
      <c r="E498" s="3" t="s">
        <v>46</v>
      </c>
      <c r="F498" s="3" t="s">
        <v>25</v>
      </c>
      <c r="G498" s="3" t="s">
        <v>25</v>
      </c>
      <c r="H498" s="3" t="s">
        <v>25</v>
      </c>
      <c r="I498" s="6">
        <v>44470</v>
      </c>
      <c r="J498" s="4">
        <v>0</v>
      </c>
      <c r="K498" s="4">
        <v>0</v>
      </c>
      <c r="L498" s="4">
        <v>2.157</v>
      </c>
      <c r="M498" s="4">
        <v>2.157</v>
      </c>
      <c r="N498" s="4">
        <v>2.157</v>
      </c>
      <c r="O498" s="4">
        <v>2.157</v>
      </c>
      <c r="P498" s="4">
        <v>2</v>
      </c>
      <c r="Q498" s="3" t="s">
        <v>26</v>
      </c>
      <c r="R498" s="3">
        <v>0</v>
      </c>
      <c r="S498" s="3" t="s">
        <v>262</v>
      </c>
      <c r="T498" s="3" t="s">
        <v>399</v>
      </c>
      <c r="U498" s="3">
        <v>0</v>
      </c>
      <c r="V498" s="3">
        <v>64</v>
      </c>
      <c r="W498" s="3">
        <v>84</v>
      </c>
    </row>
    <row r="499" spans="1:23" ht="11.25" customHeight="1" x14ac:dyDescent="0.25">
      <c r="A499" s="3" t="s">
        <v>21</v>
      </c>
      <c r="B499" s="3" t="s">
        <v>43</v>
      </c>
      <c r="C499" s="3" t="s">
        <v>23</v>
      </c>
      <c r="D499" s="3" t="s">
        <v>44</v>
      </c>
      <c r="E499" s="3" t="s">
        <v>46</v>
      </c>
      <c r="F499" s="3" t="s">
        <v>25</v>
      </c>
      <c r="G499" s="3" t="s">
        <v>25</v>
      </c>
      <c r="H499" s="3" t="s">
        <v>25</v>
      </c>
      <c r="I499" s="6">
        <v>44501</v>
      </c>
      <c r="J499" s="4">
        <v>0</v>
      </c>
      <c r="K499" s="4">
        <v>0</v>
      </c>
      <c r="L499" s="4">
        <v>2.0880000000000001</v>
      </c>
      <c r="M499" s="4">
        <v>2.0880000000000001</v>
      </c>
      <c r="N499" s="4">
        <v>2.0880000000000001</v>
      </c>
      <c r="O499" s="4">
        <v>2.0880000000000001</v>
      </c>
      <c r="P499" s="4">
        <v>2</v>
      </c>
      <c r="Q499" s="3" t="s">
        <v>26</v>
      </c>
      <c r="R499" s="3">
        <v>0</v>
      </c>
      <c r="S499" s="3" t="s">
        <v>263</v>
      </c>
      <c r="T499" s="3" t="s">
        <v>400</v>
      </c>
      <c r="U499" s="3">
        <v>0</v>
      </c>
      <c r="V499" s="3">
        <v>64</v>
      </c>
      <c r="W499" s="3">
        <v>84</v>
      </c>
    </row>
    <row r="500" spans="1:23" ht="11.25" customHeight="1" x14ac:dyDescent="0.25">
      <c r="A500" s="3" t="s">
        <v>21</v>
      </c>
      <c r="B500" s="3" t="s">
        <v>43</v>
      </c>
      <c r="C500" s="3" t="s">
        <v>23</v>
      </c>
      <c r="D500" s="3" t="s">
        <v>44</v>
      </c>
      <c r="E500" s="3" t="s">
        <v>46</v>
      </c>
      <c r="F500" s="3" t="s">
        <v>25</v>
      </c>
      <c r="G500" s="3" t="s">
        <v>25</v>
      </c>
      <c r="H500" s="3" t="s">
        <v>25</v>
      </c>
      <c r="I500" s="6">
        <v>44531</v>
      </c>
      <c r="J500" s="4">
        <v>0</v>
      </c>
      <c r="K500" s="4">
        <v>0</v>
      </c>
      <c r="L500" s="4">
        <v>2.157</v>
      </c>
      <c r="M500" s="4">
        <v>2.157</v>
      </c>
      <c r="N500" s="4">
        <v>2.157</v>
      </c>
      <c r="O500" s="4">
        <v>2.157</v>
      </c>
      <c r="P500" s="4">
        <v>2</v>
      </c>
      <c r="Q500" s="3" t="s">
        <v>26</v>
      </c>
      <c r="R500" s="3">
        <v>0</v>
      </c>
      <c r="S500" s="3" t="s">
        <v>264</v>
      </c>
      <c r="T500" s="3" t="s">
        <v>401</v>
      </c>
      <c r="U500" s="3">
        <v>0</v>
      </c>
      <c r="V500" s="3">
        <v>64</v>
      </c>
      <c r="W500" s="3">
        <v>84</v>
      </c>
    </row>
    <row r="501" spans="1:23" ht="11.25" customHeight="1" x14ac:dyDescent="0.25">
      <c r="A501" s="3" t="s">
        <v>21</v>
      </c>
      <c r="B501" s="3" t="s">
        <v>43</v>
      </c>
      <c r="C501" s="3" t="s">
        <v>23</v>
      </c>
      <c r="D501" s="3" t="s">
        <v>44</v>
      </c>
      <c r="E501" s="3" t="s">
        <v>46</v>
      </c>
      <c r="F501" s="3" t="s">
        <v>25</v>
      </c>
      <c r="G501" s="3" t="s">
        <v>25</v>
      </c>
      <c r="H501" s="3" t="s">
        <v>25</v>
      </c>
      <c r="I501" s="6">
        <v>44562</v>
      </c>
      <c r="J501" s="4">
        <v>0</v>
      </c>
      <c r="K501" s="4">
        <v>0</v>
      </c>
      <c r="L501" s="4">
        <v>2.157</v>
      </c>
      <c r="M501" s="4">
        <v>2.157</v>
      </c>
      <c r="N501" s="4">
        <v>2.157</v>
      </c>
      <c r="O501" s="4">
        <v>2.157</v>
      </c>
      <c r="P501" s="4">
        <v>2</v>
      </c>
      <c r="Q501" s="3" t="s">
        <v>26</v>
      </c>
      <c r="R501" s="3">
        <v>0</v>
      </c>
      <c r="S501" s="3" t="s">
        <v>265</v>
      </c>
      <c r="T501" s="3" t="s">
        <v>402</v>
      </c>
      <c r="U501" s="3">
        <v>0</v>
      </c>
      <c r="V501" s="3">
        <v>64</v>
      </c>
      <c r="W501" s="3">
        <v>84</v>
      </c>
    </row>
    <row r="502" spans="1:23" ht="11.25" customHeight="1" x14ac:dyDescent="0.25">
      <c r="A502" s="3" t="s">
        <v>21</v>
      </c>
      <c r="B502" s="3" t="s">
        <v>43</v>
      </c>
      <c r="C502" s="3" t="s">
        <v>23</v>
      </c>
      <c r="D502" s="3" t="s">
        <v>44</v>
      </c>
      <c r="E502" s="3" t="s">
        <v>46</v>
      </c>
      <c r="F502" s="3" t="s">
        <v>25</v>
      </c>
      <c r="G502" s="3" t="s">
        <v>25</v>
      </c>
      <c r="H502" s="3" t="s">
        <v>25</v>
      </c>
      <c r="I502" s="6">
        <v>44593</v>
      </c>
      <c r="J502" s="4">
        <v>0</v>
      </c>
      <c r="K502" s="4">
        <v>0</v>
      </c>
      <c r="L502" s="4">
        <v>1.948</v>
      </c>
      <c r="M502" s="4">
        <v>1.948</v>
      </c>
      <c r="N502" s="4">
        <v>1.948</v>
      </c>
      <c r="O502" s="4">
        <v>1.948</v>
      </c>
      <c r="P502" s="4">
        <v>2</v>
      </c>
      <c r="Q502" s="3" t="s">
        <v>26</v>
      </c>
      <c r="R502" s="3">
        <v>0</v>
      </c>
      <c r="S502" s="3" t="s">
        <v>266</v>
      </c>
      <c r="T502" s="3" t="s">
        <v>403</v>
      </c>
      <c r="U502" s="3">
        <v>0</v>
      </c>
      <c r="V502" s="3">
        <v>64</v>
      </c>
      <c r="W502" s="3">
        <v>84</v>
      </c>
    </row>
    <row r="503" spans="1:23" ht="11.25" customHeight="1" x14ac:dyDescent="0.25">
      <c r="A503" s="3" t="s">
        <v>21</v>
      </c>
      <c r="B503" s="3" t="s">
        <v>43</v>
      </c>
      <c r="C503" s="3" t="s">
        <v>23</v>
      </c>
      <c r="D503" s="3" t="s">
        <v>44</v>
      </c>
      <c r="E503" s="3" t="s">
        <v>46</v>
      </c>
      <c r="F503" s="3" t="s">
        <v>25</v>
      </c>
      <c r="G503" s="3" t="s">
        <v>25</v>
      </c>
      <c r="H503" s="3" t="s">
        <v>25</v>
      </c>
      <c r="I503" s="6">
        <v>44621</v>
      </c>
      <c r="J503" s="4">
        <v>0</v>
      </c>
      <c r="K503" s="4">
        <v>0</v>
      </c>
      <c r="L503" s="4">
        <v>2.157</v>
      </c>
      <c r="M503" s="4">
        <v>2.157</v>
      </c>
      <c r="N503" s="4">
        <v>2.157</v>
      </c>
      <c r="O503" s="4">
        <v>2.157</v>
      </c>
      <c r="P503" s="4">
        <v>2</v>
      </c>
      <c r="Q503" s="3" t="s">
        <v>26</v>
      </c>
      <c r="R503" s="3">
        <v>0</v>
      </c>
      <c r="S503" s="3" t="s">
        <v>267</v>
      </c>
      <c r="T503" s="3" t="s">
        <v>404</v>
      </c>
      <c r="U503" s="3">
        <v>0</v>
      </c>
      <c r="V503" s="3">
        <v>64</v>
      </c>
      <c r="W503" s="3">
        <v>84</v>
      </c>
    </row>
    <row r="504" spans="1:23" ht="11.25" customHeight="1" x14ac:dyDescent="0.25">
      <c r="A504" s="3" t="s">
        <v>21</v>
      </c>
      <c r="B504" s="3" t="s">
        <v>43</v>
      </c>
      <c r="C504" s="3" t="s">
        <v>23</v>
      </c>
      <c r="D504" s="3" t="s">
        <v>44</v>
      </c>
      <c r="E504" s="3" t="s">
        <v>46</v>
      </c>
      <c r="F504" s="3" t="s">
        <v>25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2.0880000000000001</v>
      </c>
      <c r="M504" s="4">
        <v>2.0880000000000001</v>
      </c>
      <c r="N504" s="4">
        <v>2.0880000000000001</v>
      </c>
      <c r="O504" s="4">
        <v>2.0880000000000001</v>
      </c>
      <c r="P504" s="4">
        <v>2</v>
      </c>
      <c r="Q504" s="3" t="s">
        <v>26</v>
      </c>
      <c r="R504" s="3">
        <v>0</v>
      </c>
      <c r="S504" s="3" t="s">
        <v>268</v>
      </c>
      <c r="T504" s="3" t="s">
        <v>405</v>
      </c>
      <c r="U504" s="3">
        <v>0</v>
      </c>
      <c r="V504" s="3">
        <v>64</v>
      </c>
      <c r="W504" s="3">
        <v>84</v>
      </c>
    </row>
    <row r="505" spans="1:23" ht="11.25" customHeight="1" x14ac:dyDescent="0.25">
      <c r="A505" s="3" t="s">
        <v>21</v>
      </c>
      <c r="B505" s="3" t="s">
        <v>43</v>
      </c>
      <c r="C505" s="3" t="s">
        <v>23</v>
      </c>
      <c r="D505" s="3" t="s">
        <v>44</v>
      </c>
      <c r="E505" s="3" t="s">
        <v>46</v>
      </c>
      <c r="F505" s="3" t="s">
        <v>25</v>
      </c>
      <c r="G505" s="3" t="s">
        <v>25</v>
      </c>
      <c r="H505" s="3" t="s">
        <v>25</v>
      </c>
      <c r="I505" s="6">
        <v>44682</v>
      </c>
      <c r="J505" s="4">
        <v>0</v>
      </c>
      <c r="K505" s="4">
        <v>0</v>
      </c>
      <c r="L505" s="4">
        <v>2.157</v>
      </c>
      <c r="M505" s="4">
        <v>2.157</v>
      </c>
      <c r="N505" s="4">
        <v>2.157</v>
      </c>
      <c r="O505" s="4">
        <v>2.157</v>
      </c>
      <c r="P505" s="4">
        <v>2</v>
      </c>
      <c r="Q505" s="3" t="s">
        <v>26</v>
      </c>
      <c r="R505" s="3">
        <v>0</v>
      </c>
      <c r="S505" s="3" t="s">
        <v>269</v>
      </c>
      <c r="T505" s="3" t="s">
        <v>406</v>
      </c>
      <c r="U505" s="3">
        <v>0</v>
      </c>
      <c r="V505" s="3">
        <v>64</v>
      </c>
      <c r="W505" s="3">
        <v>84</v>
      </c>
    </row>
    <row r="506" spans="1:23" ht="11.25" customHeight="1" x14ac:dyDescent="0.25">
      <c r="A506" s="3" t="s">
        <v>21</v>
      </c>
      <c r="B506" s="3" t="s">
        <v>43</v>
      </c>
      <c r="C506" s="3" t="s">
        <v>23</v>
      </c>
      <c r="D506" s="3" t="s">
        <v>44</v>
      </c>
      <c r="E506" s="3" t="s">
        <v>46</v>
      </c>
      <c r="F506" s="3" t="s">
        <v>25</v>
      </c>
      <c r="G506" s="3" t="s">
        <v>25</v>
      </c>
      <c r="H506" s="3" t="s">
        <v>25</v>
      </c>
      <c r="I506" s="6">
        <v>44713</v>
      </c>
      <c r="J506" s="4">
        <v>0</v>
      </c>
      <c r="K506" s="4">
        <v>0</v>
      </c>
      <c r="L506" s="4">
        <v>2.0880000000000001</v>
      </c>
      <c r="M506" s="4">
        <v>2.0880000000000001</v>
      </c>
      <c r="N506" s="4">
        <v>2.0880000000000001</v>
      </c>
      <c r="O506" s="4">
        <v>2.0880000000000001</v>
      </c>
      <c r="P506" s="4">
        <v>2</v>
      </c>
      <c r="Q506" s="3" t="s">
        <v>26</v>
      </c>
      <c r="R506" s="3">
        <v>0</v>
      </c>
      <c r="S506" s="3" t="s">
        <v>270</v>
      </c>
      <c r="T506" s="3" t="s">
        <v>407</v>
      </c>
      <c r="U506" s="3">
        <v>0</v>
      </c>
      <c r="V506" s="3">
        <v>64</v>
      </c>
      <c r="W506" s="3">
        <v>84</v>
      </c>
    </row>
    <row r="507" spans="1:23" ht="11.25" customHeight="1" x14ac:dyDescent="0.25">
      <c r="A507" s="3" t="s">
        <v>21</v>
      </c>
      <c r="B507" s="3" t="s">
        <v>43</v>
      </c>
      <c r="C507" s="3" t="s">
        <v>23</v>
      </c>
      <c r="D507" s="3" t="s">
        <v>44</v>
      </c>
      <c r="E507" s="3" t="s">
        <v>46</v>
      </c>
      <c r="F507" s="3" t="s">
        <v>25</v>
      </c>
      <c r="G507" s="3" t="s">
        <v>25</v>
      </c>
      <c r="H507" s="3" t="s">
        <v>25</v>
      </c>
      <c r="I507" s="6">
        <v>44743</v>
      </c>
      <c r="J507" s="4">
        <v>0</v>
      </c>
      <c r="K507" s="4">
        <v>0</v>
      </c>
      <c r="L507" s="4">
        <v>2.157</v>
      </c>
      <c r="M507" s="4">
        <v>2.157</v>
      </c>
      <c r="N507" s="4">
        <v>2.157</v>
      </c>
      <c r="O507" s="4">
        <v>2.157</v>
      </c>
      <c r="P507" s="4">
        <v>2</v>
      </c>
      <c r="Q507" s="3" t="s">
        <v>26</v>
      </c>
      <c r="R507" s="3">
        <v>0</v>
      </c>
      <c r="S507" s="3" t="s">
        <v>271</v>
      </c>
      <c r="T507" s="3" t="s">
        <v>408</v>
      </c>
      <c r="U507" s="3">
        <v>0</v>
      </c>
      <c r="V507" s="3">
        <v>64</v>
      </c>
      <c r="W507" s="3">
        <v>84</v>
      </c>
    </row>
    <row r="508" spans="1:23" ht="11.25" customHeight="1" x14ac:dyDescent="0.25">
      <c r="A508" s="3" t="s">
        <v>21</v>
      </c>
      <c r="B508" s="3" t="s">
        <v>43</v>
      </c>
      <c r="C508" s="3" t="s">
        <v>23</v>
      </c>
      <c r="D508" s="3" t="s">
        <v>44</v>
      </c>
      <c r="E508" s="3" t="s">
        <v>46</v>
      </c>
      <c r="F508" s="3" t="s">
        <v>25</v>
      </c>
      <c r="G508" s="3" t="s">
        <v>25</v>
      </c>
      <c r="H508" s="3" t="s">
        <v>25</v>
      </c>
      <c r="I508" s="6">
        <v>44774</v>
      </c>
      <c r="J508" s="4">
        <v>0</v>
      </c>
      <c r="K508" s="4">
        <v>0</v>
      </c>
      <c r="L508" s="4">
        <v>2.157</v>
      </c>
      <c r="M508" s="4">
        <v>2.157</v>
      </c>
      <c r="N508" s="4">
        <v>2.157</v>
      </c>
      <c r="O508" s="4">
        <v>2.157</v>
      </c>
      <c r="P508" s="4">
        <v>2</v>
      </c>
      <c r="Q508" s="3" t="s">
        <v>26</v>
      </c>
      <c r="R508" s="3">
        <v>0</v>
      </c>
      <c r="S508" s="3" t="s">
        <v>272</v>
      </c>
      <c r="T508" s="3" t="s">
        <v>409</v>
      </c>
      <c r="U508" s="3">
        <v>0</v>
      </c>
      <c r="V508" s="3">
        <v>64</v>
      </c>
      <c r="W508" s="3">
        <v>84</v>
      </c>
    </row>
  </sheetData>
  <sortState xmlns:xlrd2="http://schemas.microsoft.com/office/spreadsheetml/2017/richdata2" ref="A2:W508">
    <sortCondition ref="B2:B508"/>
    <sortCondition ref="C2:C508"/>
    <sortCondition ref="D2:D508"/>
    <sortCondition ref="E2:E508"/>
    <sortCondition ref="F2:F508"/>
    <sortCondition ref="H2:H508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5B6E-5C87-4113-AF17-D918E7B34E23}">
  <dimension ref="A1:H67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G1" s="7" t="s">
        <v>62</v>
      </c>
      <c r="H1" s="7">
        <f>COUNTA(A:A)</f>
        <v>67</v>
      </c>
    </row>
    <row r="2" spans="1:8" ht="11.25" customHeight="1" x14ac:dyDescent="0.25">
      <c r="A2" s="8" t="s">
        <v>286</v>
      </c>
      <c r="B2" s="8" t="s">
        <v>287</v>
      </c>
      <c r="C2" s="8" t="s">
        <v>288</v>
      </c>
      <c r="D2" s="8">
        <v>53</v>
      </c>
      <c r="E2" s="8" t="s">
        <v>289</v>
      </c>
    </row>
    <row r="3" spans="1:8" ht="11.25" customHeight="1" x14ac:dyDescent="0.25">
      <c r="A3" s="8" t="s">
        <v>286</v>
      </c>
      <c r="B3" s="8" t="s">
        <v>287</v>
      </c>
      <c r="C3" s="8" t="s">
        <v>288</v>
      </c>
      <c r="D3" s="8">
        <v>54</v>
      </c>
      <c r="E3" s="8" t="s">
        <v>289</v>
      </c>
    </row>
    <row r="4" spans="1:8" ht="11.25" customHeight="1" x14ac:dyDescent="0.25">
      <c r="A4" s="8" t="s">
        <v>286</v>
      </c>
      <c r="B4" s="8" t="s">
        <v>287</v>
      </c>
      <c r="C4" s="8" t="s">
        <v>288</v>
      </c>
      <c r="D4" s="8">
        <v>55</v>
      </c>
      <c r="E4" s="8" t="s">
        <v>289</v>
      </c>
    </row>
    <row r="5" spans="1:8" ht="11.25" customHeight="1" x14ac:dyDescent="0.25">
      <c r="A5" s="8" t="s">
        <v>286</v>
      </c>
      <c r="B5" s="8" t="s">
        <v>287</v>
      </c>
      <c r="C5" s="8" t="s">
        <v>288</v>
      </c>
      <c r="D5" s="8">
        <v>56</v>
      </c>
      <c r="E5" s="8" t="s">
        <v>289</v>
      </c>
    </row>
    <row r="6" spans="1:8" ht="11.25" customHeight="1" x14ac:dyDescent="0.25">
      <c r="A6" s="8" t="s">
        <v>286</v>
      </c>
      <c r="B6" s="8" t="s">
        <v>287</v>
      </c>
      <c r="C6" s="8" t="s">
        <v>288</v>
      </c>
      <c r="D6" s="8">
        <v>57</v>
      </c>
      <c r="E6" s="8" t="s">
        <v>289</v>
      </c>
    </row>
    <row r="7" spans="1:8" ht="11.25" customHeight="1" x14ac:dyDescent="0.25">
      <c r="A7" s="8" t="s">
        <v>286</v>
      </c>
      <c r="B7" s="8" t="s">
        <v>287</v>
      </c>
      <c r="C7" s="8" t="s">
        <v>288</v>
      </c>
      <c r="D7" s="8">
        <v>58</v>
      </c>
      <c r="E7" s="8" t="s">
        <v>289</v>
      </c>
    </row>
    <row r="8" spans="1:8" ht="11.25" customHeight="1" x14ac:dyDescent="0.25">
      <c r="A8" s="8" t="s">
        <v>286</v>
      </c>
      <c r="B8" s="8" t="s">
        <v>287</v>
      </c>
      <c r="C8" s="8" t="s">
        <v>288</v>
      </c>
      <c r="D8" s="8">
        <v>59</v>
      </c>
      <c r="E8" s="8" t="s">
        <v>289</v>
      </c>
    </row>
    <row r="9" spans="1:8" ht="11.25" customHeight="1" x14ac:dyDescent="0.25">
      <c r="A9" s="8" t="s">
        <v>286</v>
      </c>
      <c r="B9" s="8" t="s">
        <v>287</v>
      </c>
      <c r="C9" s="8" t="s">
        <v>288</v>
      </c>
      <c r="D9" s="8">
        <v>60</v>
      </c>
      <c r="E9" s="8" t="s">
        <v>289</v>
      </c>
    </row>
    <row r="10" spans="1:8" ht="11.25" customHeight="1" x14ac:dyDescent="0.25">
      <c r="A10" s="8" t="s">
        <v>286</v>
      </c>
      <c r="B10" s="8" t="s">
        <v>287</v>
      </c>
      <c r="C10" s="8" t="s">
        <v>288</v>
      </c>
      <c r="D10" s="8">
        <v>61</v>
      </c>
      <c r="E10" s="8" t="s">
        <v>289</v>
      </c>
    </row>
    <row r="11" spans="1:8" ht="11.25" customHeight="1" x14ac:dyDescent="0.25">
      <c r="A11" s="8" t="s">
        <v>286</v>
      </c>
      <c r="B11" s="8" t="s">
        <v>287</v>
      </c>
      <c r="C11" s="8" t="s">
        <v>288</v>
      </c>
      <c r="D11" s="8">
        <v>62</v>
      </c>
      <c r="E11" s="8" t="s">
        <v>289</v>
      </c>
    </row>
    <row r="12" spans="1:8" ht="11.25" customHeight="1" x14ac:dyDescent="0.25">
      <c r="A12" s="8" t="s">
        <v>286</v>
      </c>
      <c r="B12" s="8" t="s">
        <v>287</v>
      </c>
      <c r="C12" s="8" t="s">
        <v>288</v>
      </c>
      <c r="D12" s="8">
        <v>63</v>
      </c>
      <c r="E12" s="8" t="s">
        <v>289</v>
      </c>
    </row>
    <row r="13" spans="1:8" ht="11.25" customHeight="1" x14ac:dyDescent="0.25">
      <c r="A13" s="8" t="s">
        <v>286</v>
      </c>
      <c r="B13" s="8" t="s">
        <v>287</v>
      </c>
      <c r="C13" s="8" t="s">
        <v>288</v>
      </c>
      <c r="D13" s="8">
        <v>64</v>
      </c>
      <c r="E13" s="8" t="s">
        <v>289</v>
      </c>
    </row>
    <row r="14" spans="1:8" ht="11.25" customHeight="1" x14ac:dyDescent="0.25">
      <c r="A14" s="8" t="s">
        <v>286</v>
      </c>
      <c r="B14" s="8" t="s">
        <v>287</v>
      </c>
      <c r="C14" s="8" t="s">
        <v>288</v>
      </c>
      <c r="D14" s="8">
        <v>65</v>
      </c>
      <c r="E14" s="8" t="s">
        <v>289</v>
      </c>
    </row>
    <row r="15" spans="1:8" ht="11.25" customHeight="1" x14ac:dyDescent="0.25">
      <c r="A15" s="8" t="s">
        <v>286</v>
      </c>
      <c r="B15" s="8" t="s">
        <v>287</v>
      </c>
      <c r="C15" s="8" t="s">
        <v>288</v>
      </c>
      <c r="D15" s="8">
        <v>66</v>
      </c>
      <c r="E15" s="8" t="s">
        <v>289</v>
      </c>
    </row>
    <row r="16" spans="1:8" ht="11.25" customHeight="1" x14ac:dyDescent="0.25">
      <c r="A16" s="8" t="s">
        <v>286</v>
      </c>
      <c r="B16" s="8" t="s">
        <v>287</v>
      </c>
      <c r="C16" s="8" t="s">
        <v>288</v>
      </c>
      <c r="D16" s="8">
        <v>67</v>
      </c>
      <c r="E16" s="8" t="s">
        <v>289</v>
      </c>
    </row>
    <row r="17" spans="1:5" ht="11.25" customHeight="1" x14ac:dyDescent="0.25">
      <c r="A17" s="8" t="s">
        <v>286</v>
      </c>
      <c r="B17" s="8" t="s">
        <v>287</v>
      </c>
      <c r="C17" s="8" t="s">
        <v>288</v>
      </c>
      <c r="D17" s="8">
        <v>68</v>
      </c>
      <c r="E17" s="8" t="s">
        <v>289</v>
      </c>
    </row>
    <row r="18" spans="1:5" ht="11.25" customHeight="1" x14ac:dyDescent="0.25">
      <c r="A18" s="8" t="s">
        <v>286</v>
      </c>
      <c r="B18" s="8" t="s">
        <v>287</v>
      </c>
      <c r="C18" s="8" t="s">
        <v>288</v>
      </c>
      <c r="D18" s="8">
        <v>69</v>
      </c>
      <c r="E18" s="8" t="s">
        <v>289</v>
      </c>
    </row>
    <row r="19" spans="1:5" ht="11.25" customHeight="1" x14ac:dyDescent="0.25">
      <c r="A19" s="8" t="s">
        <v>286</v>
      </c>
      <c r="B19" s="8" t="s">
        <v>287</v>
      </c>
      <c r="C19" s="8" t="s">
        <v>288</v>
      </c>
      <c r="D19" s="8">
        <v>70</v>
      </c>
      <c r="E19" s="8" t="s">
        <v>289</v>
      </c>
    </row>
    <row r="20" spans="1:5" ht="11.25" customHeight="1" x14ac:dyDescent="0.25">
      <c r="A20" s="8" t="s">
        <v>286</v>
      </c>
      <c r="B20" s="8" t="s">
        <v>287</v>
      </c>
      <c r="C20" s="8" t="s">
        <v>288</v>
      </c>
      <c r="D20" s="8">
        <v>71</v>
      </c>
      <c r="E20" s="8" t="s">
        <v>289</v>
      </c>
    </row>
    <row r="21" spans="1:5" ht="11.25" customHeight="1" x14ac:dyDescent="0.25">
      <c r="A21" s="8" t="s">
        <v>286</v>
      </c>
      <c r="B21" s="8" t="s">
        <v>287</v>
      </c>
      <c r="C21" s="8" t="s">
        <v>288</v>
      </c>
      <c r="D21" s="8">
        <v>72</v>
      </c>
      <c r="E21" s="8" t="s">
        <v>289</v>
      </c>
    </row>
    <row r="22" spans="1:5" ht="11.25" customHeight="1" x14ac:dyDescent="0.25">
      <c r="A22" s="8" t="s">
        <v>286</v>
      </c>
      <c r="B22" s="8" t="s">
        <v>287</v>
      </c>
      <c r="C22" s="8" t="s">
        <v>288</v>
      </c>
      <c r="D22" s="8">
        <v>73</v>
      </c>
      <c r="E22" s="8" t="s">
        <v>289</v>
      </c>
    </row>
    <row r="23" spans="1:5" ht="11.25" customHeight="1" x14ac:dyDescent="0.25">
      <c r="A23" s="8" t="s">
        <v>286</v>
      </c>
      <c r="B23" s="8" t="s">
        <v>287</v>
      </c>
      <c r="C23" s="8" t="s">
        <v>288</v>
      </c>
      <c r="D23" s="8">
        <v>74</v>
      </c>
      <c r="E23" s="8" t="s">
        <v>289</v>
      </c>
    </row>
    <row r="24" spans="1:5" ht="11.25" customHeight="1" x14ac:dyDescent="0.25">
      <c r="A24" s="8" t="s">
        <v>286</v>
      </c>
      <c r="B24" s="8" t="s">
        <v>287</v>
      </c>
      <c r="C24" s="8" t="s">
        <v>288</v>
      </c>
      <c r="D24" s="8">
        <v>75</v>
      </c>
      <c r="E24" s="8" t="s">
        <v>289</v>
      </c>
    </row>
    <row r="25" spans="1:5" ht="11.25" customHeight="1" x14ac:dyDescent="0.25">
      <c r="A25" s="8" t="s">
        <v>286</v>
      </c>
      <c r="B25" s="8" t="s">
        <v>287</v>
      </c>
      <c r="C25" s="8" t="s">
        <v>288</v>
      </c>
      <c r="D25" s="8">
        <v>76</v>
      </c>
      <c r="E25" s="8" t="s">
        <v>289</v>
      </c>
    </row>
    <row r="26" spans="1:5" ht="11.25" customHeight="1" x14ac:dyDescent="0.25">
      <c r="A26" s="8" t="s">
        <v>286</v>
      </c>
      <c r="B26" s="8" t="s">
        <v>287</v>
      </c>
      <c r="C26" s="8" t="s">
        <v>288</v>
      </c>
      <c r="D26" s="8">
        <v>77</v>
      </c>
      <c r="E26" s="8" t="s">
        <v>289</v>
      </c>
    </row>
    <row r="27" spans="1:5" ht="11.25" customHeight="1" x14ac:dyDescent="0.25">
      <c r="A27" s="8" t="s">
        <v>286</v>
      </c>
      <c r="B27" s="8" t="s">
        <v>287</v>
      </c>
      <c r="C27" s="8" t="s">
        <v>288</v>
      </c>
      <c r="D27" s="8">
        <v>141</v>
      </c>
      <c r="E27" s="8" t="s">
        <v>289</v>
      </c>
    </row>
    <row r="28" spans="1:5" ht="11.25" customHeight="1" x14ac:dyDescent="0.25">
      <c r="A28" s="8" t="s">
        <v>286</v>
      </c>
      <c r="B28" s="8" t="s">
        <v>287</v>
      </c>
      <c r="C28" s="8" t="s">
        <v>288</v>
      </c>
      <c r="D28" s="8">
        <v>142</v>
      </c>
      <c r="E28" s="8" t="s">
        <v>289</v>
      </c>
    </row>
    <row r="29" spans="1:5" ht="11.25" customHeight="1" x14ac:dyDescent="0.25">
      <c r="A29" s="8" t="s">
        <v>286</v>
      </c>
      <c r="B29" s="8" t="s">
        <v>287</v>
      </c>
      <c r="C29" s="8" t="s">
        <v>288</v>
      </c>
      <c r="D29" s="8">
        <v>143</v>
      </c>
      <c r="E29" s="8" t="s">
        <v>289</v>
      </c>
    </row>
    <row r="30" spans="1:5" ht="11.25" customHeight="1" x14ac:dyDescent="0.25">
      <c r="A30" s="8" t="s">
        <v>286</v>
      </c>
      <c r="B30" s="8" t="s">
        <v>287</v>
      </c>
      <c r="C30" s="8" t="s">
        <v>288</v>
      </c>
      <c r="D30" s="8">
        <v>144</v>
      </c>
      <c r="E30" s="8" t="s">
        <v>289</v>
      </c>
    </row>
    <row r="31" spans="1:5" ht="11.25" customHeight="1" x14ac:dyDescent="0.25">
      <c r="A31" s="8" t="s">
        <v>286</v>
      </c>
      <c r="B31" s="8" t="s">
        <v>287</v>
      </c>
      <c r="C31" s="8" t="s">
        <v>288</v>
      </c>
      <c r="D31" s="8">
        <v>145</v>
      </c>
      <c r="E31" s="8" t="s">
        <v>289</v>
      </c>
    </row>
    <row r="32" spans="1:5" ht="11.25" customHeight="1" x14ac:dyDescent="0.25">
      <c r="A32" s="8" t="s">
        <v>286</v>
      </c>
      <c r="B32" s="8" t="s">
        <v>287</v>
      </c>
      <c r="C32" s="8" t="s">
        <v>288</v>
      </c>
      <c r="D32" s="8">
        <v>146</v>
      </c>
      <c r="E32" s="8" t="s">
        <v>289</v>
      </c>
    </row>
    <row r="33" spans="1:5" ht="11.25" customHeight="1" x14ac:dyDescent="0.25">
      <c r="A33" s="8" t="s">
        <v>286</v>
      </c>
      <c r="B33" s="8" t="s">
        <v>287</v>
      </c>
      <c r="C33" s="8" t="s">
        <v>288</v>
      </c>
      <c r="D33" s="8">
        <v>147</v>
      </c>
      <c r="E33" s="8" t="s">
        <v>289</v>
      </c>
    </row>
    <row r="34" spans="1:5" ht="11.25" customHeight="1" x14ac:dyDescent="0.25">
      <c r="A34" s="8" t="s">
        <v>286</v>
      </c>
      <c r="B34" s="8" t="s">
        <v>287</v>
      </c>
      <c r="C34" s="8" t="s">
        <v>288</v>
      </c>
      <c r="D34" s="8">
        <v>148</v>
      </c>
      <c r="E34" s="8" t="s">
        <v>289</v>
      </c>
    </row>
    <row r="35" spans="1:5" ht="11.25" customHeight="1" x14ac:dyDescent="0.25">
      <c r="A35" s="8" t="s">
        <v>286</v>
      </c>
      <c r="B35" s="8" t="s">
        <v>287</v>
      </c>
      <c r="C35" s="8" t="s">
        <v>288</v>
      </c>
      <c r="D35" s="8">
        <v>149</v>
      </c>
      <c r="E35" s="8" t="s">
        <v>289</v>
      </c>
    </row>
    <row r="36" spans="1:5" ht="11.25" customHeight="1" x14ac:dyDescent="0.25">
      <c r="A36" s="8" t="s">
        <v>286</v>
      </c>
      <c r="B36" s="8" t="s">
        <v>287</v>
      </c>
      <c r="C36" s="8" t="s">
        <v>288</v>
      </c>
      <c r="D36" s="8">
        <v>150</v>
      </c>
      <c r="E36" s="8" t="s">
        <v>289</v>
      </c>
    </row>
    <row r="37" spans="1:5" ht="11.25" customHeight="1" x14ac:dyDescent="0.25">
      <c r="A37" s="8" t="s">
        <v>286</v>
      </c>
      <c r="B37" s="8" t="s">
        <v>287</v>
      </c>
      <c r="C37" s="8" t="s">
        <v>288</v>
      </c>
      <c r="D37" s="8">
        <v>151</v>
      </c>
      <c r="E37" s="8" t="s">
        <v>289</v>
      </c>
    </row>
    <row r="38" spans="1:5" ht="11.25" customHeight="1" x14ac:dyDescent="0.25">
      <c r="A38" s="8" t="s">
        <v>286</v>
      </c>
      <c r="B38" s="8" t="s">
        <v>287</v>
      </c>
      <c r="C38" s="8" t="s">
        <v>288</v>
      </c>
      <c r="D38" s="8">
        <v>152</v>
      </c>
      <c r="E38" s="8" t="s">
        <v>289</v>
      </c>
    </row>
    <row r="39" spans="1:5" ht="11.25" customHeight="1" x14ac:dyDescent="0.25">
      <c r="A39" s="8" t="s">
        <v>286</v>
      </c>
      <c r="B39" s="8" t="s">
        <v>287</v>
      </c>
      <c r="C39" s="8" t="s">
        <v>288</v>
      </c>
      <c r="D39" s="8">
        <v>189</v>
      </c>
      <c r="E39" s="8" t="s">
        <v>289</v>
      </c>
    </row>
    <row r="40" spans="1:5" ht="11.25" customHeight="1" x14ac:dyDescent="0.25">
      <c r="A40" s="8" t="s">
        <v>286</v>
      </c>
      <c r="B40" s="8" t="s">
        <v>287</v>
      </c>
      <c r="C40" s="8" t="s">
        <v>288</v>
      </c>
      <c r="D40" s="8">
        <v>190</v>
      </c>
      <c r="E40" s="8" t="s">
        <v>289</v>
      </c>
    </row>
    <row r="41" spans="1:5" ht="11.25" customHeight="1" x14ac:dyDescent="0.25">
      <c r="A41" s="8" t="s">
        <v>286</v>
      </c>
      <c r="B41" s="8" t="s">
        <v>287</v>
      </c>
      <c r="C41" s="8" t="s">
        <v>288</v>
      </c>
      <c r="D41" s="8">
        <v>191</v>
      </c>
      <c r="E41" s="8" t="s">
        <v>289</v>
      </c>
    </row>
    <row r="42" spans="1:5" ht="11.25" customHeight="1" x14ac:dyDescent="0.25">
      <c r="A42" s="8" t="s">
        <v>286</v>
      </c>
      <c r="B42" s="8" t="s">
        <v>287</v>
      </c>
      <c r="C42" s="8" t="s">
        <v>288</v>
      </c>
      <c r="D42" s="8">
        <v>192</v>
      </c>
      <c r="E42" s="8" t="s">
        <v>289</v>
      </c>
    </row>
    <row r="43" spans="1:5" ht="11.25" customHeight="1" x14ac:dyDescent="0.25">
      <c r="A43" s="8" t="s">
        <v>286</v>
      </c>
      <c r="B43" s="8" t="s">
        <v>287</v>
      </c>
      <c r="C43" s="8" t="s">
        <v>288</v>
      </c>
      <c r="D43" s="8">
        <v>193</v>
      </c>
      <c r="E43" s="8" t="s">
        <v>289</v>
      </c>
    </row>
    <row r="44" spans="1:5" ht="11.25" customHeight="1" x14ac:dyDescent="0.25">
      <c r="A44" s="8" t="s">
        <v>286</v>
      </c>
      <c r="B44" s="8" t="s">
        <v>287</v>
      </c>
      <c r="C44" s="8" t="s">
        <v>288</v>
      </c>
      <c r="D44" s="8">
        <v>194</v>
      </c>
      <c r="E44" s="8" t="s">
        <v>289</v>
      </c>
    </row>
    <row r="45" spans="1:5" ht="11.25" customHeight="1" x14ac:dyDescent="0.25">
      <c r="A45" s="8" t="s">
        <v>286</v>
      </c>
      <c r="B45" s="8" t="s">
        <v>287</v>
      </c>
      <c r="C45" s="8" t="s">
        <v>288</v>
      </c>
      <c r="D45" s="8">
        <v>195</v>
      </c>
      <c r="E45" s="8" t="s">
        <v>289</v>
      </c>
    </row>
    <row r="46" spans="1:5" ht="11.25" customHeight="1" x14ac:dyDescent="0.25">
      <c r="A46" s="8" t="s">
        <v>286</v>
      </c>
      <c r="B46" s="8" t="s">
        <v>287</v>
      </c>
      <c r="C46" s="8" t="s">
        <v>288</v>
      </c>
      <c r="D46" s="8">
        <v>196</v>
      </c>
      <c r="E46" s="8" t="s">
        <v>289</v>
      </c>
    </row>
    <row r="47" spans="1:5" ht="11.25" customHeight="1" x14ac:dyDescent="0.25">
      <c r="A47" s="8" t="s">
        <v>286</v>
      </c>
      <c r="B47" s="8" t="s">
        <v>287</v>
      </c>
      <c r="C47" s="8" t="s">
        <v>288</v>
      </c>
      <c r="D47" s="8">
        <v>197</v>
      </c>
      <c r="E47" s="8" t="s">
        <v>289</v>
      </c>
    </row>
    <row r="48" spans="1:5" ht="11.25" customHeight="1" x14ac:dyDescent="0.25">
      <c r="A48" s="8" t="s">
        <v>286</v>
      </c>
      <c r="B48" s="8" t="s">
        <v>287</v>
      </c>
      <c r="C48" s="8" t="s">
        <v>288</v>
      </c>
      <c r="D48" s="8">
        <v>198</v>
      </c>
      <c r="E48" s="8" t="s">
        <v>289</v>
      </c>
    </row>
    <row r="49" spans="1:5" ht="11.25" customHeight="1" x14ac:dyDescent="0.25">
      <c r="A49" s="8" t="s">
        <v>286</v>
      </c>
      <c r="B49" s="8" t="s">
        <v>287</v>
      </c>
      <c r="C49" s="8" t="s">
        <v>288</v>
      </c>
      <c r="D49" s="8">
        <v>199</v>
      </c>
      <c r="E49" s="8" t="s">
        <v>289</v>
      </c>
    </row>
    <row r="50" spans="1:5" ht="11.25" customHeight="1" x14ac:dyDescent="0.25">
      <c r="A50" s="8" t="s">
        <v>286</v>
      </c>
      <c r="B50" s="8" t="s">
        <v>287</v>
      </c>
      <c r="C50" s="8" t="s">
        <v>288</v>
      </c>
      <c r="D50" s="8">
        <v>200</v>
      </c>
      <c r="E50" s="8" t="s">
        <v>289</v>
      </c>
    </row>
    <row r="51" spans="1:5" ht="11.25" customHeight="1" x14ac:dyDescent="0.25">
      <c r="A51" s="8" t="s">
        <v>286</v>
      </c>
      <c r="B51" s="8" t="s">
        <v>287</v>
      </c>
      <c r="C51" s="8" t="s">
        <v>288</v>
      </c>
      <c r="D51" s="8">
        <v>225</v>
      </c>
      <c r="E51" s="8" t="s">
        <v>289</v>
      </c>
    </row>
    <row r="52" spans="1:5" ht="11.25" customHeight="1" x14ac:dyDescent="0.25">
      <c r="A52" s="8" t="s">
        <v>286</v>
      </c>
      <c r="B52" s="8" t="s">
        <v>287</v>
      </c>
      <c r="C52" s="8" t="s">
        <v>288</v>
      </c>
      <c r="D52" s="8">
        <v>226</v>
      </c>
      <c r="E52" s="8" t="s">
        <v>289</v>
      </c>
    </row>
    <row r="53" spans="1:5" ht="11.25" customHeight="1" x14ac:dyDescent="0.25">
      <c r="A53" s="8" t="s">
        <v>286</v>
      </c>
      <c r="B53" s="8" t="s">
        <v>287</v>
      </c>
      <c r="C53" s="8" t="s">
        <v>288</v>
      </c>
      <c r="D53" s="8">
        <v>227</v>
      </c>
      <c r="E53" s="8" t="s">
        <v>289</v>
      </c>
    </row>
    <row r="54" spans="1:5" ht="11.25" customHeight="1" x14ac:dyDescent="0.25">
      <c r="A54" s="8" t="s">
        <v>286</v>
      </c>
      <c r="B54" s="8" t="s">
        <v>287</v>
      </c>
      <c r="C54" s="8" t="s">
        <v>288</v>
      </c>
      <c r="D54" s="8">
        <v>228</v>
      </c>
      <c r="E54" s="8" t="s">
        <v>289</v>
      </c>
    </row>
    <row r="55" spans="1:5" ht="11.25" customHeight="1" x14ac:dyDescent="0.25">
      <c r="A55" s="8" t="s">
        <v>286</v>
      </c>
      <c r="B55" s="8" t="s">
        <v>287</v>
      </c>
      <c r="C55" s="8" t="s">
        <v>288</v>
      </c>
      <c r="D55" s="8">
        <v>229</v>
      </c>
      <c r="E55" s="8" t="s">
        <v>289</v>
      </c>
    </row>
    <row r="56" spans="1:5" ht="11.25" customHeight="1" x14ac:dyDescent="0.25">
      <c r="A56" s="8" t="s">
        <v>286</v>
      </c>
      <c r="B56" s="8" t="s">
        <v>287</v>
      </c>
      <c r="C56" s="8" t="s">
        <v>288</v>
      </c>
      <c r="D56" s="8">
        <v>230</v>
      </c>
      <c r="E56" s="8" t="s">
        <v>289</v>
      </c>
    </row>
    <row r="57" spans="1:5" ht="11.25" customHeight="1" x14ac:dyDescent="0.25">
      <c r="A57" s="8" t="s">
        <v>286</v>
      </c>
      <c r="B57" s="8" t="s">
        <v>287</v>
      </c>
      <c r="C57" s="8" t="s">
        <v>288</v>
      </c>
      <c r="D57" s="8">
        <v>231</v>
      </c>
      <c r="E57" s="8" t="s">
        <v>289</v>
      </c>
    </row>
    <row r="58" spans="1:5" ht="11.25" customHeight="1" x14ac:dyDescent="0.25">
      <c r="A58" s="8" t="s">
        <v>286</v>
      </c>
      <c r="B58" s="8" t="s">
        <v>287</v>
      </c>
      <c r="C58" s="8" t="s">
        <v>288</v>
      </c>
      <c r="D58" s="8">
        <v>232</v>
      </c>
      <c r="E58" s="8" t="s">
        <v>289</v>
      </c>
    </row>
    <row r="59" spans="1:5" ht="11.25" customHeight="1" x14ac:dyDescent="0.25">
      <c r="A59" s="8" t="s">
        <v>286</v>
      </c>
      <c r="B59" s="8" t="s">
        <v>287</v>
      </c>
      <c r="C59" s="8" t="s">
        <v>288</v>
      </c>
      <c r="D59" s="8">
        <v>233</v>
      </c>
      <c r="E59" s="8" t="s">
        <v>289</v>
      </c>
    </row>
    <row r="60" spans="1:5" ht="11.25" customHeight="1" x14ac:dyDescent="0.25">
      <c r="A60" s="8" t="s">
        <v>286</v>
      </c>
      <c r="B60" s="8" t="s">
        <v>287</v>
      </c>
      <c r="C60" s="8" t="s">
        <v>288</v>
      </c>
      <c r="D60" s="8">
        <v>234</v>
      </c>
      <c r="E60" s="8" t="s">
        <v>289</v>
      </c>
    </row>
    <row r="61" spans="1:5" ht="11.25" customHeight="1" x14ac:dyDescent="0.25">
      <c r="A61" s="8" t="s">
        <v>286</v>
      </c>
      <c r="B61" s="8" t="s">
        <v>287</v>
      </c>
      <c r="C61" s="8" t="s">
        <v>288</v>
      </c>
      <c r="D61" s="8">
        <v>235</v>
      </c>
      <c r="E61" s="8" t="s">
        <v>289</v>
      </c>
    </row>
    <row r="62" spans="1:5" ht="11.25" customHeight="1" x14ac:dyDescent="0.25">
      <c r="A62" s="8" t="s">
        <v>286</v>
      </c>
      <c r="B62" s="8" t="s">
        <v>287</v>
      </c>
      <c r="C62" s="8" t="s">
        <v>288</v>
      </c>
      <c r="D62" s="8">
        <v>236</v>
      </c>
      <c r="E62" s="8" t="s">
        <v>289</v>
      </c>
    </row>
    <row r="63" spans="1:5" ht="11.25" customHeight="1" x14ac:dyDescent="0.25">
      <c r="A63" s="8" t="s">
        <v>286</v>
      </c>
      <c r="C63" s="8" t="s">
        <v>499</v>
      </c>
      <c r="D63" s="8">
        <v>40</v>
      </c>
      <c r="E63" s="8" t="s">
        <v>9</v>
      </c>
    </row>
    <row r="64" spans="1:5" ht="11.25" customHeight="1" x14ac:dyDescent="0.25">
      <c r="A64" s="8" t="s">
        <v>286</v>
      </c>
      <c r="C64" s="8" t="s">
        <v>499</v>
      </c>
      <c r="D64" s="8">
        <v>40</v>
      </c>
      <c r="E64" s="8" t="s">
        <v>9</v>
      </c>
    </row>
    <row r="65" spans="1:5" ht="11.25" customHeight="1" x14ac:dyDescent="0.25">
      <c r="A65" s="8" t="s">
        <v>286</v>
      </c>
      <c r="C65" s="8" t="s">
        <v>499</v>
      </c>
      <c r="D65" s="8">
        <v>40</v>
      </c>
      <c r="E65" s="8" t="s">
        <v>9</v>
      </c>
    </row>
    <row r="66" spans="1:5" ht="11.25" customHeight="1" x14ac:dyDescent="0.25">
      <c r="A66" s="8" t="s">
        <v>286</v>
      </c>
      <c r="C66" s="8" t="s">
        <v>499</v>
      </c>
      <c r="D66" s="8">
        <v>40</v>
      </c>
      <c r="E66" s="8" t="s">
        <v>9</v>
      </c>
    </row>
    <row r="67" spans="1:5" ht="11.25" customHeight="1" x14ac:dyDescent="0.25">
      <c r="A67" s="8" t="s">
        <v>286</v>
      </c>
      <c r="C67" s="8" t="s">
        <v>499</v>
      </c>
      <c r="D67" s="8">
        <v>40</v>
      </c>
      <c r="E67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2E9B-C5BE-41F5-B9A4-E7A5297AD4C1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560</v>
      </c>
      <c r="B1" s="30" t="s">
        <v>550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551</v>
      </c>
      <c r="K1" s="30" t="s">
        <v>552</v>
      </c>
      <c r="L1" s="30" t="s">
        <v>553</v>
      </c>
      <c r="M1" s="30" t="s">
        <v>554</v>
      </c>
      <c r="N1" s="30" t="s">
        <v>555</v>
      </c>
      <c r="O1" s="30" t="s">
        <v>431</v>
      </c>
      <c r="P1" s="30" t="s">
        <v>417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411</v>
      </c>
      <c r="C2" s="31" t="s">
        <v>35</v>
      </c>
      <c r="D2" s="31" t="s">
        <v>54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38</v>
      </c>
      <c r="J2" s="31" t="s">
        <v>556</v>
      </c>
      <c r="K2" s="31" t="s">
        <v>557</v>
      </c>
      <c r="L2" s="31" t="s">
        <v>76</v>
      </c>
      <c r="M2" s="31">
        <v>2021</v>
      </c>
      <c r="N2" s="31">
        <v>0</v>
      </c>
      <c r="O2" s="31">
        <v>22.34</v>
      </c>
      <c r="P2" s="31">
        <v>0</v>
      </c>
    </row>
    <row r="3" spans="1:50" ht="11.25" customHeight="1" x14ac:dyDescent="0.25">
      <c r="A3" s="31">
        <v>2</v>
      </c>
      <c r="B3" s="31" t="s">
        <v>411</v>
      </c>
      <c r="C3" s="31" t="s">
        <v>22</v>
      </c>
      <c r="D3" s="31" t="s">
        <v>87</v>
      </c>
      <c r="E3" s="31" t="s">
        <v>24</v>
      </c>
      <c r="F3" s="31" t="s">
        <v>24</v>
      </c>
      <c r="G3" s="31" t="s">
        <v>25</v>
      </c>
      <c r="H3" s="31" t="s">
        <v>25</v>
      </c>
      <c r="I3" s="31" t="s">
        <v>38</v>
      </c>
      <c r="J3" s="31" t="s">
        <v>558</v>
      </c>
      <c r="K3" s="31" t="s">
        <v>557</v>
      </c>
      <c r="L3" s="31" t="s">
        <v>73</v>
      </c>
      <c r="M3" s="31">
        <v>2021</v>
      </c>
      <c r="N3" s="31">
        <v>0</v>
      </c>
      <c r="O3" s="31">
        <v>246.92</v>
      </c>
      <c r="P3" s="31">
        <v>48.084108316310903</v>
      </c>
    </row>
    <row r="4" spans="1:50" ht="11.25" customHeight="1" x14ac:dyDescent="0.25">
      <c r="A4" s="31">
        <v>3</v>
      </c>
      <c r="B4" s="31" t="s">
        <v>411</v>
      </c>
      <c r="C4" s="31" t="s">
        <v>35</v>
      </c>
      <c r="D4" s="31" t="s">
        <v>54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37</v>
      </c>
      <c r="J4" s="31" t="s">
        <v>556</v>
      </c>
      <c r="K4" s="31" t="s">
        <v>557</v>
      </c>
      <c r="L4" s="31" t="s">
        <v>76</v>
      </c>
      <c r="M4" s="31">
        <v>2021</v>
      </c>
      <c r="N4" s="31">
        <v>0</v>
      </c>
      <c r="O4" s="31">
        <v>78.180000000000007</v>
      </c>
      <c r="P4" s="31">
        <v>0</v>
      </c>
    </row>
    <row r="5" spans="1:50" ht="11.25" customHeight="1" x14ac:dyDescent="0.25">
      <c r="A5" s="31">
        <v>4</v>
      </c>
      <c r="B5" s="31" t="s">
        <v>411</v>
      </c>
      <c r="C5" s="31" t="s">
        <v>35</v>
      </c>
      <c r="D5" s="31" t="s">
        <v>54</v>
      </c>
      <c r="E5" s="31" t="s">
        <v>25</v>
      </c>
      <c r="F5" s="31" t="s">
        <v>25</v>
      </c>
      <c r="G5" s="31" t="s">
        <v>25</v>
      </c>
      <c r="H5" s="31" t="s">
        <v>25</v>
      </c>
      <c r="I5" s="31" t="s">
        <v>25</v>
      </c>
      <c r="J5" s="31" t="s">
        <v>558</v>
      </c>
      <c r="K5" s="31" t="s">
        <v>557</v>
      </c>
      <c r="L5" s="31" t="s">
        <v>73</v>
      </c>
      <c r="M5" s="31">
        <v>2021</v>
      </c>
      <c r="N5" s="31">
        <v>0</v>
      </c>
      <c r="O5" s="31">
        <v>56.92</v>
      </c>
      <c r="P5" s="31">
        <v>41.833174235190398</v>
      </c>
    </row>
    <row r="6" spans="1:50" ht="11.25" customHeight="1" x14ac:dyDescent="0.25">
      <c r="A6" s="31">
        <v>5</v>
      </c>
      <c r="B6" s="31" t="s">
        <v>411</v>
      </c>
      <c r="C6" s="31" t="s">
        <v>22</v>
      </c>
      <c r="D6" s="31" t="s">
        <v>23</v>
      </c>
      <c r="E6" s="31" t="s">
        <v>24</v>
      </c>
      <c r="F6" s="31" t="s">
        <v>29</v>
      </c>
      <c r="G6" s="31" t="s">
        <v>25</v>
      </c>
      <c r="H6" s="31" t="s">
        <v>25</v>
      </c>
      <c r="I6" s="31" t="s">
        <v>25</v>
      </c>
      <c r="J6" s="31" t="s">
        <v>558</v>
      </c>
      <c r="K6" s="31" t="s">
        <v>557</v>
      </c>
      <c r="L6" s="31" t="s">
        <v>73</v>
      </c>
      <c r="M6" s="31">
        <v>2021</v>
      </c>
      <c r="N6" s="31">
        <v>0</v>
      </c>
      <c r="O6" s="31">
        <v>109.18</v>
      </c>
      <c r="P6" s="31">
        <v>0</v>
      </c>
    </row>
    <row r="7" spans="1:50" ht="11.25" customHeight="1" x14ac:dyDescent="0.25">
      <c r="A7" s="31">
        <v>6</v>
      </c>
      <c r="B7" s="31" t="s">
        <v>411</v>
      </c>
      <c r="C7" s="31" t="s">
        <v>22</v>
      </c>
      <c r="D7" s="31" t="s">
        <v>23</v>
      </c>
      <c r="E7" s="31" t="s">
        <v>24</v>
      </c>
      <c r="F7" s="31" t="s">
        <v>24</v>
      </c>
      <c r="G7" s="31" t="s">
        <v>25</v>
      </c>
      <c r="H7" s="31" t="s">
        <v>25</v>
      </c>
      <c r="I7" s="31" t="s">
        <v>25</v>
      </c>
      <c r="J7" s="31" t="s">
        <v>558</v>
      </c>
      <c r="K7" s="31" t="s">
        <v>557</v>
      </c>
      <c r="L7" s="31" t="s">
        <v>73</v>
      </c>
      <c r="M7" s="31">
        <v>2021</v>
      </c>
      <c r="N7" s="31">
        <v>0</v>
      </c>
      <c r="O7" s="31">
        <v>367.75</v>
      </c>
      <c r="P7" s="31">
        <v>48.084108316310903</v>
      </c>
    </row>
    <row r="8" spans="1:50" ht="11.25" customHeight="1" x14ac:dyDescent="0.25">
      <c r="A8" s="31">
        <v>7</v>
      </c>
      <c r="B8" s="31" t="s">
        <v>411</v>
      </c>
      <c r="C8" s="31" t="s">
        <v>22</v>
      </c>
      <c r="D8" s="31" t="s">
        <v>87</v>
      </c>
      <c r="E8" s="31" t="s">
        <v>24</v>
      </c>
      <c r="F8" s="31" t="s">
        <v>24</v>
      </c>
      <c r="G8" s="31" t="s">
        <v>25</v>
      </c>
      <c r="H8" s="31" t="s">
        <v>25</v>
      </c>
      <c r="I8" s="31" t="s">
        <v>559</v>
      </c>
      <c r="J8" s="31" t="s">
        <v>558</v>
      </c>
      <c r="K8" s="31" t="s">
        <v>557</v>
      </c>
      <c r="L8" s="31" t="s">
        <v>73</v>
      </c>
      <c r="M8" s="31">
        <v>2021</v>
      </c>
      <c r="N8" s="31">
        <v>0</v>
      </c>
      <c r="O8" s="31">
        <v>594.69000000000005</v>
      </c>
      <c r="P8" s="31">
        <v>48.084108316310903</v>
      </c>
    </row>
    <row r="9" spans="1:50" ht="11.25" customHeight="1" x14ac:dyDescent="0.25">
      <c r="A9" s="31">
        <v>8</v>
      </c>
      <c r="B9" s="31" t="s">
        <v>411</v>
      </c>
      <c r="C9" s="31" t="s">
        <v>35</v>
      </c>
      <c r="D9" s="31" t="s">
        <v>54</v>
      </c>
      <c r="E9" s="31" t="s">
        <v>25</v>
      </c>
      <c r="F9" s="31" t="s">
        <v>25</v>
      </c>
      <c r="G9" s="31" t="s">
        <v>80</v>
      </c>
      <c r="H9" s="31" t="s">
        <v>25</v>
      </c>
      <c r="I9" s="31" t="s">
        <v>25</v>
      </c>
      <c r="J9" s="31" t="s">
        <v>558</v>
      </c>
      <c r="K9" s="31" t="s">
        <v>557</v>
      </c>
      <c r="L9" s="31" t="s">
        <v>73</v>
      </c>
      <c r="M9" s="31">
        <v>2021</v>
      </c>
      <c r="N9" s="31">
        <v>0</v>
      </c>
      <c r="O9" s="31">
        <v>7.35</v>
      </c>
      <c r="P9" s="31">
        <v>0</v>
      </c>
    </row>
    <row r="10" spans="1:50" ht="11.25" customHeight="1" x14ac:dyDescent="0.25">
      <c r="A10" s="31">
        <v>9</v>
      </c>
      <c r="B10" s="31" t="s">
        <v>411</v>
      </c>
      <c r="C10" s="31" t="s">
        <v>22</v>
      </c>
      <c r="D10" s="31" t="s">
        <v>23</v>
      </c>
      <c r="E10" s="31" t="s">
        <v>24</v>
      </c>
      <c r="F10" s="31" t="s">
        <v>30</v>
      </c>
      <c r="G10" s="31" t="s">
        <v>25</v>
      </c>
      <c r="H10" s="31" t="s">
        <v>25</v>
      </c>
      <c r="I10" s="31" t="s">
        <v>25</v>
      </c>
      <c r="J10" s="31" t="s">
        <v>558</v>
      </c>
      <c r="K10" s="31" t="s">
        <v>557</v>
      </c>
      <c r="L10" s="31" t="s">
        <v>73</v>
      </c>
      <c r="M10" s="31">
        <v>2021</v>
      </c>
      <c r="N10" s="31">
        <v>0</v>
      </c>
      <c r="O10" s="31">
        <v>187.16</v>
      </c>
      <c r="P10" s="31">
        <v>0</v>
      </c>
    </row>
    <row r="11" spans="1:50" ht="11.25" customHeight="1" x14ac:dyDescent="0.25">
      <c r="A11" s="31">
        <v>10</v>
      </c>
      <c r="B11" s="31" t="s">
        <v>411</v>
      </c>
      <c r="C11" s="31" t="s">
        <v>22</v>
      </c>
      <c r="D11" s="31" t="s">
        <v>87</v>
      </c>
      <c r="E11" s="31" t="s">
        <v>24</v>
      </c>
      <c r="F11" s="31" t="s">
        <v>24</v>
      </c>
      <c r="G11" s="31" t="s">
        <v>25</v>
      </c>
      <c r="H11" s="31" t="s">
        <v>25</v>
      </c>
      <c r="I11" s="31" t="s">
        <v>37</v>
      </c>
      <c r="J11" s="31" t="s">
        <v>558</v>
      </c>
      <c r="K11" s="31" t="s">
        <v>557</v>
      </c>
      <c r="L11" s="31" t="s">
        <v>73</v>
      </c>
      <c r="M11" s="31">
        <v>2021</v>
      </c>
      <c r="N11" s="31">
        <v>0</v>
      </c>
      <c r="O11" s="31">
        <v>942.45</v>
      </c>
      <c r="P11" s="31">
        <v>48.084108316310903</v>
      </c>
    </row>
    <row r="12" spans="1:50" ht="11.25" customHeight="1" x14ac:dyDescent="0.25">
      <c r="A12" s="31">
        <v>11</v>
      </c>
      <c r="B12" s="31" t="s">
        <v>411</v>
      </c>
      <c r="C12" s="31" t="s">
        <v>40</v>
      </c>
      <c r="D12" s="31" t="s">
        <v>87</v>
      </c>
      <c r="E12" s="31" t="s">
        <v>41</v>
      </c>
      <c r="F12" s="31" t="s">
        <v>25</v>
      </c>
      <c r="G12" s="31" t="s">
        <v>25</v>
      </c>
      <c r="H12" s="31" t="s">
        <v>25</v>
      </c>
      <c r="I12" s="31" t="s">
        <v>559</v>
      </c>
      <c r="J12" s="31" t="s">
        <v>558</v>
      </c>
      <c r="K12" s="31" t="s">
        <v>557</v>
      </c>
      <c r="L12" s="31" t="s">
        <v>73</v>
      </c>
      <c r="M12" s="31">
        <v>2021</v>
      </c>
      <c r="N12" s="31">
        <v>0</v>
      </c>
      <c r="O12" s="31">
        <v>554.44000000000005</v>
      </c>
      <c r="P12" s="31">
        <v>42.314015318353597</v>
      </c>
    </row>
    <row r="13" spans="1:50" ht="11.25" customHeight="1" x14ac:dyDescent="0.25">
      <c r="A13" s="31">
        <v>12</v>
      </c>
      <c r="B13" s="31" t="s">
        <v>411</v>
      </c>
      <c r="C13" s="31" t="s">
        <v>35</v>
      </c>
      <c r="D13" s="31" t="s">
        <v>81</v>
      </c>
      <c r="E13" s="31" t="s">
        <v>25</v>
      </c>
      <c r="F13" s="31" t="s">
        <v>25</v>
      </c>
      <c r="G13" s="31" t="s">
        <v>25</v>
      </c>
      <c r="H13" s="31" t="s">
        <v>25</v>
      </c>
      <c r="I13" s="31" t="s">
        <v>25</v>
      </c>
      <c r="J13" s="31" t="s">
        <v>556</v>
      </c>
      <c r="K13" s="31" t="s">
        <v>557</v>
      </c>
      <c r="L13" s="31" t="s">
        <v>76</v>
      </c>
      <c r="M13" s="31">
        <v>2021</v>
      </c>
      <c r="N13" s="31">
        <v>0</v>
      </c>
      <c r="O13" s="31">
        <v>7.76</v>
      </c>
      <c r="P13" s="31">
        <v>0</v>
      </c>
    </row>
    <row r="14" spans="1:50" ht="11.25" customHeight="1" x14ac:dyDescent="0.25">
      <c r="A14" s="31">
        <v>13</v>
      </c>
      <c r="B14" s="31" t="s">
        <v>411</v>
      </c>
      <c r="C14" s="31" t="s">
        <v>82</v>
      </c>
      <c r="D14" s="31" t="s">
        <v>81</v>
      </c>
      <c r="E14" s="31" t="s">
        <v>25</v>
      </c>
      <c r="F14" s="31" t="s">
        <v>25</v>
      </c>
      <c r="G14" s="31" t="s">
        <v>84</v>
      </c>
      <c r="H14" s="31" t="s">
        <v>25</v>
      </c>
      <c r="I14" s="31" t="s">
        <v>25</v>
      </c>
      <c r="J14" s="31" t="s">
        <v>556</v>
      </c>
      <c r="K14" s="31" t="s">
        <v>557</v>
      </c>
      <c r="L14" s="31" t="s">
        <v>76</v>
      </c>
      <c r="M14" s="31">
        <v>2021</v>
      </c>
      <c r="N14" s="31">
        <v>0</v>
      </c>
      <c r="O14" s="31">
        <v>13.06</v>
      </c>
      <c r="P14" s="31">
        <v>0</v>
      </c>
    </row>
    <row r="15" spans="1:50" ht="11.25" customHeight="1" x14ac:dyDescent="0.25">
      <c r="A15" s="31">
        <v>14</v>
      </c>
      <c r="B15" s="31" t="s">
        <v>411</v>
      </c>
      <c r="C15" s="31" t="s">
        <v>40</v>
      </c>
      <c r="D15" s="31" t="s">
        <v>87</v>
      </c>
      <c r="E15" s="31" t="s">
        <v>41</v>
      </c>
      <c r="F15" s="31" t="s">
        <v>25</v>
      </c>
      <c r="G15" s="31" t="s">
        <v>25</v>
      </c>
      <c r="H15" s="31" t="s">
        <v>25</v>
      </c>
      <c r="I15" s="31" t="s">
        <v>37</v>
      </c>
      <c r="J15" s="31" t="s">
        <v>558</v>
      </c>
      <c r="K15" s="31" t="s">
        <v>557</v>
      </c>
      <c r="L15" s="31" t="s">
        <v>73</v>
      </c>
      <c r="M15" s="31">
        <v>2021</v>
      </c>
      <c r="N15" s="31">
        <v>0</v>
      </c>
      <c r="O15" s="31">
        <v>881.23</v>
      </c>
      <c r="P15" s="31">
        <v>42.314015318353597</v>
      </c>
    </row>
    <row r="16" spans="1:50" ht="11.25" customHeight="1" x14ac:dyDescent="0.25">
      <c r="A16" s="31">
        <v>15</v>
      </c>
      <c r="B16" s="31" t="s">
        <v>411</v>
      </c>
      <c r="C16" s="31" t="s">
        <v>35</v>
      </c>
      <c r="D16" s="31" t="s">
        <v>36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38</v>
      </c>
      <c r="J16" s="31" t="s">
        <v>558</v>
      </c>
      <c r="K16" s="31" t="s">
        <v>557</v>
      </c>
      <c r="L16" s="31" t="s">
        <v>73</v>
      </c>
      <c r="M16" s="31">
        <v>2021</v>
      </c>
      <c r="N16" s="31">
        <v>0</v>
      </c>
      <c r="O16" s="31">
        <v>56.92</v>
      </c>
      <c r="P16" s="31">
        <v>41.833174235190398</v>
      </c>
    </row>
    <row r="17" spans="1:16" ht="11.25" customHeight="1" x14ac:dyDescent="0.25">
      <c r="A17" s="31">
        <v>16</v>
      </c>
      <c r="B17" s="31" t="s">
        <v>411</v>
      </c>
      <c r="C17" s="31" t="s">
        <v>22</v>
      </c>
      <c r="D17" s="31" t="s">
        <v>89</v>
      </c>
      <c r="E17" s="31" t="s">
        <v>24</v>
      </c>
      <c r="F17" s="31" t="s">
        <v>24</v>
      </c>
      <c r="G17" s="31" t="s">
        <v>25</v>
      </c>
      <c r="H17" s="31" t="s">
        <v>25</v>
      </c>
      <c r="I17" s="31" t="s">
        <v>25</v>
      </c>
      <c r="J17" s="31" t="s">
        <v>558</v>
      </c>
      <c r="K17" s="31" t="s">
        <v>557</v>
      </c>
      <c r="L17" s="31" t="s">
        <v>73</v>
      </c>
      <c r="M17" s="31">
        <v>2021</v>
      </c>
      <c r="N17" s="31">
        <v>0</v>
      </c>
      <c r="O17" s="31">
        <v>367.75</v>
      </c>
      <c r="P17" s="31">
        <v>48.084108316310903</v>
      </c>
    </row>
    <row r="18" spans="1:16" ht="11.25" customHeight="1" x14ac:dyDescent="0.25">
      <c r="A18" s="31">
        <v>17</v>
      </c>
      <c r="B18" s="31" t="s">
        <v>411</v>
      </c>
      <c r="C18" s="31" t="s">
        <v>40</v>
      </c>
      <c r="D18" s="31" t="s">
        <v>87</v>
      </c>
      <c r="E18" s="31" t="s">
        <v>41</v>
      </c>
      <c r="F18" s="31" t="s">
        <v>25</v>
      </c>
      <c r="G18" s="31" t="s">
        <v>25</v>
      </c>
      <c r="H18" s="31" t="s">
        <v>25</v>
      </c>
      <c r="I18" s="31" t="s">
        <v>38</v>
      </c>
      <c r="J18" s="31" t="s">
        <v>558</v>
      </c>
      <c r="K18" s="31" t="s">
        <v>557</v>
      </c>
      <c r="L18" s="31" t="s">
        <v>73</v>
      </c>
      <c r="M18" s="31">
        <v>2021</v>
      </c>
      <c r="N18" s="31">
        <v>0</v>
      </c>
      <c r="O18" s="31">
        <v>227.66</v>
      </c>
      <c r="P18" s="31">
        <v>42.314015318353597</v>
      </c>
    </row>
    <row r="19" spans="1:16" ht="11.25" customHeight="1" x14ac:dyDescent="0.25">
      <c r="A19" s="31">
        <v>18</v>
      </c>
      <c r="B19" s="31" t="s">
        <v>411</v>
      </c>
      <c r="C19" s="31" t="s">
        <v>33</v>
      </c>
      <c r="D19" s="31" t="s">
        <v>87</v>
      </c>
      <c r="E19" s="31" t="s">
        <v>25</v>
      </c>
      <c r="F19" s="31" t="s">
        <v>25</v>
      </c>
      <c r="G19" s="31" t="s">
        <v>25</v>
      </c>
      <c r="H19" s="31" t="s">
        <v>25</v>
      </c>
      <c r="I19" s="31" t="s">
        <v>559</v>
      </c>
      <c r="J19" s="31" t="s">
        <v>558</v>
      </c>
      <c r="K19" s="31" t="s">
        <v>557</v>
      </c>
      <c r="L19" s="31" t="s">
        <v>73</v>
      </c>
      <c r="M19" s="31">
        <v>2021</v>
      </c>
      <c r="N19" s="31">
        <v>0</v>
      </c>
      <c r="O19" s="31">
        <v>638.89</v>
      </c>
      <c r="P19" s="31">
        <v>48.084108316310903</v>
      </c>
    </row>
    <row r="20" spans="1:16" ht="11.25" customHeight="1" x14ac:dyDescent="0.25">
      <c r="A20" s="31">
        <v>19</v>
      </c>
      <c r="B20" s="31" t="s">
        <v>411</v>
      </c>
      <c r="C20" s="31" t="s">
        <v>22</v>
      </c>
      <c r="D20" s="31" t="s">
        <v>89</v>
      </c>
      <c r="E20" s="31" t="s">
        <v>24</v>
      </c>
      <c r="F20" s="31" t="s">
        <v>32</v>
      </c>
      <c r="G20" s="31" t="s">
        <v>25</v>
      </c>
      <c r="H20" s="31" t="s">
        <v>25</v>
      </c>
      <c r="I20" s="31" t="s">
        <v>25</v>
      </c>
      <c r="J20" s="31" t="s">
        <v>558</v>
      </c>
      <c r="K20" s="31" t="s">
        <v>557</v>
      </c>
      <c r="L20" s="31" t="s">
        <v>73</v>
      </c>
      <c r="M20" s="31">
        <v>2021</v>
      </c>
      <c r="N20" s="31">
        <v>0</v>
      </c>
      <c r="O20" s="31">
        <v>311.93</v>
      </c>
      <c r="P20" s="31">
        <v>0</v>
      </c>
    </row>
    <row r="21" spans="1:16" ht="11.25" customHeight="1" x14ac:dyDescent="0.25">
      <c r="A21" s="31">
        <v>20</v>
      </c>
      <c r="B21" s="31" t="s">
        <v>411</v>
      </c>
      <c r="C21" s="31" t="s">
        <v>40</v>
      </c>
      <c r="D21" s="31" t="s">
        <v>23</v>
      </c>
      <c r="E21" s="31" t="s">
        <v>41</v>
      </c>
      <c r="F21" s="31" t="s">
        <v>25</v>
      </c>
      <c r="G21" s="31" t="s">
        <v>25</v>
      </c>
      <c r="H21" s="31" t="s">
        <v>25</v>
      </c>
      <c r="I21" s="31" t="s">
        <v>25</v>
      </c>
      <c r="J21" s="31" t="s">
        <v>558</v>
      </c>
      <c r="K21" s="31" t="s">
        <v>557</v>
      </c>
      <c r="L21" s="31" t="s">
        <v>73</v>
      </c>
      <c r="M21" s="31">
        <v>2021</v>
      </c>
      <c r="N21" s="31">
        <v>0</v>
      </c>
      <c r="O21" s="31">
        <v>323.62</v>
      </c>
      <c r="P21" s="31">
        <v>42.314015318353597</v>
      </c>
    </row>
    <row r="22" spans="1:16" ht="11.25" customHeight="1" x14ac:dyDescent="0.25">
      <c r="A22" s="31">
        <v>21</v>
      </c>
      <c r="B22" s="31" t="s">
        <v>411</v>
      </c>
      <c r="C22" s="31" t="s">
        <v>33</v>
      </c>
      <c r="D22" s="31" t="s">
        <v>87</v>
      </c>
      <c r="E22" s="31" t="s">
        <v>25</v>
      </c>
      <c r="F22" s="31" t="s">
        <v>25</v>
      </c>
      <c r="G22" s="31" t="s">
        <v>25</v>
      </c>
      <c r="H22" s="31" t="s">
        <v>25</v>
      </c>
      <c r="I22" s="31" t="s">
        <v>38</v>
      </c>
      <c r="J22" s="31" t="s">
        <v>558</v>
      </c>
      <c r="K22" s="31" t="s">
        <v>557</v>
      </c>
      <c r="L22" s="31" t="s">
        <v>73</v>
      </c>
      <c r="M22" s="31">
        <v>2021</v>
      </c>
      <c r="N22" s="31">
        <v>0</v>
      </c>
      <c r="O22" s="31">
        <v>261.64999999999998</v>
      </c>
      <c r="P22" s="31">
        <v>48.084108316310903</v>
      </c>
    </row>
    <row r="23" spans="1:16" ht="11.25" customHeight="1" x14ac:dyDescent="0.25">
      <c r="A23" s="31">
        <v>22</v>
      </c>
      <c r="B23" s="31" t="s">
        <v>411</v>
      </c>
      <c r="C23" s="31" t="s">
        <v>35</v>
      </c>
      <c r="D23" s="31" t="s">
        <v>36</v>
      </c>
      <c r="E23" s="31" t="s">
        <v>25</v>
      </c>
      <c r="F23" s="31" t="s">
        <v>25</v>
      </c>
      <c r="G23" s="31" t="s">
        <v>25</v>
      </c>
      <c r="H23" s="31" t="s">
        <v>25</v>
      </c>
      <c r="I23" s="31" t="s">
        <v>25</v>
      </c>
      <c r="J23" s="31" t="s">
        <v>556</v>
      </c>
      <c r="K23" s="31" t="s">
        <v>557</v>
      </c>
      <c r="L23" s="31" t="s">
        <v>76</v>
      </c>
      <c r="M23" s="31">
        <v>2021</v>
      </c>
      <c r="N23" s="31">
        <v>0</v>
      </c>
      <c r="O23" s="31">
        <v>22.34</v>
      </c>
      <c r="P23" s="31">
        <v>0</v>
      </c>
    </row>
    <row r="24" spans="1:16" ht="11.25" customHeight="1" x14ac:dyDescent="0.25">
      <c r="A24" s="31">
        <v>23</v>
      </c>
      <c r="B24" s="31" t="s">
        <v>411</v>
      </c>
      <c r="C24" s="31" t="s">
        <v>22</v>
      </c>
      <c r="D24" s="31" t="s">
        <v>23</v>
      </c>
      <c r="E24" s="31" t="s">
        <v>24</v>
      </c>
      <c r="F24" s="31" t="s">
        <v>32</v>
      </c>
      <c r="G24" s="31" t="s">
        <v>25</v>
      </c>
      <c r="H24" s="31" t="s">
        <v>25</v>
      </c>
      <c r="I24" s="31" t="s">
        <v>25</v>
      </c>
      <c r="J24" s="31" t="s">
        <v>558</v>
      </c>
      <c r="K24" s="31" t="s">
        <v>557</v>
      </c>
      <c r="L24" s="31" t="s">
        <v>73</v>
      </c>
      <c r="M24" s="31">
        <v>2021</v>
      </c>
      <c r="N24" s="31">
        <v>0</v>
      </c>
      <c r="O24" s="31">
        <v>311.93</v>
      </c>
      <c r="P24" s="31">
        <v>0</v>
      </c>
    </row>
    <row r="25" spans="1:16" ht="11.25" customHeight="1" x14ac:dyDescent="0.25">
      <c r="A25" s="31">
        <v>24</v>
      </c>
      <c r="B25" s="31" t="s">
        <v>411</v>
      </c>
      <c r="C25" s="31" t="s">
        <v>22</v>
      </c>
      <c r="D25" s="31" t="s">
        <v>89</v>
      </c>
      <c r="E25" s="31" t="s">
        <v>24</v>
      </c>
      <c r="F25" s="31" t="s">
        <v>29</v>
      </c>
      <c r="G25" s="31" t="s">
        <v>25</v>
      </c>
      <c r="H25" s="31" t="s">
        <v>25</v>
      </c>
      <c r="I25" s="31" t="s">
        <v>25</v>
      </c>
      <c r="J25" s="31" t="s">
        <v>558</v>
      </c>
      <c r="K25" s="31" t="s">
        <v>557</v>
      </c>
      <c r="L25" s="31" t="s">
        <v>73</v>
      </c>
      <c r="M25" s="31">
        <v>2021</v>
      </c>
      <c r="N25" s="31">
        <v>0</v>
      </c>
      <c r="O25" s="31">
        <v>109.18</v>
      </c>
      <c r="P25" s="31">
        <v>0</v>
      </c>
    </row>
    <row r="26" spans="1:16" ht="11.25" customHeight="1" x14ac:dyDescent="0.25">
      <c r="A26" s="31">
        <v>25</v>
      </c>
      <c r="B26" s="31" t="s">
        <v>411</v>
      </c>
      <c r="C26" s="31" t="s">
        <v>40</v>
      </c>
      <c r="D26" s="31" t="s">
        <v>87</v>
      </c>
      <c r="E26" s="31" t="s">
        <v>41</v>
      </c>
      <c r="F26" s="31" t="s">
        <v>90</v>
      </c>
      <c r="G26" s="31" t="s">
        <v>25</v>
      </c>
      <c r="H26" s="31" t="s">
        <v>25</v>
      </c>
      <c r="I26" s="31" t="s">
        <v>37</v>
      </c>
      <c r="J26" s="31" t="s">
        <v>558</v>
      </c>
      <c r="K26" s="31" t="s">
        <v>557</v>
      </c>
      <c r="L26" s="31" t="s">
        <v>73</v>
      </c>
      <c r="M26" s="31">
        <v>2021</v>
      </c>
      <c r="N26" s="31">
        <v>0</v>
      </c>
      <c r="O26" s="31">
        <v>881.23</v>
      </c>
      <c r="P26" s="31">
        <v>42.314015318353597</v>
      </c>
    </row>
    <row r="27" spans="1:16" ht="11.25" customHeight="1" x14ac:dyDescent="0.25">
      <c r="A27" s="31">
        <v>26</v>
      </c>
      <c r="B27" s="31" t="s">
        <v>411</v>
      </c>
      <c r="C27" s="31" t="s">
        <v>33</v>
      </c>
      <c r="D27" s="31" t="s">
        <v>23</v>
      </c>
      <c r="E27" s="31" t="s">
        <v>25</v>
      </c>
      <c r="F27" s="31" t="s">
        <v>25</v>
      </c>
      <c r="G27" s="31" t="s">
        <v>25</v>
      </c>
      <c r="H27" s="31" t="s">
        <v>25</v>
      </c>
      <c r="I27" s="31" t="s">
        <v>25</v>
      </c>
      <c r="J27" s="31" t="s">
        <v>558</v>
      </c>
      <c r="K27" s="31" t="s">
        <v>557</v>
      </c>
      <c r="L27" s="31" t="s">
        <v>73</v>
      </c>
      <c r="M27" s="31">
        <v>2021</v>
      </c>
      <c r="N27" s="31">
        <v>0</v>
      </c>
      <c r="O27" s="31">
        <v>367.75</v>
      </c>
      <c r="P27" s="31">
        <v>48.084108316310903</v>
      </c>
    </row>
    <row r="28" spans="1:16" ht="11.25" customHeight="1" x14ac:dyDescent="0.25">
      <c r="A28" s="31">
        <v>27</v>
      </c>
      <c r="B28" s="31" t="s">
        <v>411</v>
      </c>
      <c r="C28" s="31" t="s">
        <v>40</v>
      </c>
      <c r="D28" s="31" t="s">
        <v>87</v>
      </c>
      <c r="E28" s="31" t="s">
        <v>41</v>
      </c>
      <c r="F28" s="31" t="s">
        <v>90</v>
      </c>
      <c r="G28" s="31" t="s">
        <v>25</v>
      </c>
      <c r="H28" s="31" t="s">
        <v>25</v>
      </c>
      <c r="I28" s="31" t="s">
        <v>559</v>
      </c>
      <c r="J28" s="31" t="s">
        <v>558</v>
      </c>
      <c r="K28" s="31" t="s">
        <v>557</v>
      </c>
      <c r="L28" s="31" t="s">
        <v>73</v>
      </c>
      <c r="M28" s="31">
        <v>2021</v>
      </c>
      <c r="N28" s="31">
        <v>0</v>
      </c>
      <c r="O28" s="31">
        <v>554.44000000000005</v>
      </c>
      <c r="P28" s="31">
        <v>42.314015318353597</v>
      </c>
    </row>
    <row r="29" spans="1:16" ht="11.25" customHeight="1" x14ac:dyDescent="0.25">
      <c r="A29" s="31">
        <v>28</v>
      </c>
      <c r="B29" s="31" t="s">
        <v>411</v>
      </c>
      <c r="C29" s="31" t="s">
        <v>33</v>
      </c>
      <c r="D29" s="31" t="s">
        <v>89</v>
      </c>
      <c r="E29" s="31" t="s">
        <v>25</v>
      </c>
      <c r="F29" s="31" t="s">
        <v>25</v>
      </c>
      <c r="G29" s="31" t="s">
        <v>25</v>
      </c>
      <c r="H29" s="31" t="s">
        <v>25</v>
      </c>
      <c r="I29" s="31" t="s">
        <v>25</v>
      </c>
      <c r="J29" s="31" t="s">
        <v>558</v>
      </c>
      <c r="K29" s="31" t="s">
        <v>557</v>
      </c>
      <c r="L29" s="31" t="s">
        <v>73</v>
      </c>
      <c r="M29" s="31">
        <v>2021</v>
      </c>
      <c r="N29" s="31">
        <v>0</v>
      </c>
      <c r="O29" s="31">
        <v>367.75</v>
      </c>
      <c r="P29" s="31">
        <v>48.084108316310903</v>
      </c>
    </row>
    <row r="30" spans="1:16" ht="11.25" customHeight="1" x14ac:dyDescent="0.25">
      <c r="A30" s="31">
        <v>29</v>
      </c>
      <c r="B30" s="31" t="s">
        <v>411</v>
      </c>
      <c r="C30" s="31" t="s">
        <v>33</v>
      </c>
      <c r="D30" s="31" t="s">
        <v>87</v>
      </c>
      <c r="E30" s="31" t="s">
        <v>25</v>
      </c>
      <c r="F30" s="31" t="s">
        <v>25</v>
      </c>
      <c r="G30" s="31" t="s">
        <v>25</v>
      </c>
      <c r="H30" s="31" t="s">
        <v>25</v>
      </c>
      <c r="I30" s="31" t="s">
        <v>37</v>
      </c>
      <c r="J30" s="31" t="s">
        <v>558</v>
      </c>
      <c r="K30" s="31" t="s">
        <v>557</v>
      </c>
      <c r="L30" s="31" t="s">
        <v>73</v>
      </c>
      <c r="M30" s="31">
        <v>2021</v>
      </c>
      <c r="N30" s="31">
        <v>0</v>
      </c>
      <c r="O30" s="31">
        <v>1016.13</v>
      </c>
      <c r="P30" s="31">
        <v>48.084108316310903</v>
      </c>
    </row>
    <row r="31" spans="1:16" ht="11.25" customHeight="1" x14ac:dyDescent="0.25">
      <c r="A31" s="31">
        <v>30</v>
      </c>
      <c r="B31" s="31" t="s">
        <v>411</v>
      </c>
      <c r="C31" s="31" t="s">
        <v>40</v>
      </c>
      <c r="D31" s="31" t="s">
        <v>89</v>
      </c>
      <c r="E31" s="31" t="s">
        <v>41</v>
      </c>
      <c r="F31" s="31" t="s">
        <v>91</v>
      </c>
      <c r="G31" s="31" t="s">
        <v>25</v>
      </c>
      <c r="H31" s="31" t="s">
        <v>25</v>
      </c>
      <c r="I31" s="31" t="s">
        <v>25</v>
      </c>
      <c r="J31" s="31" t="s">
        <v>558</v>
      </c>
      <c r="K31" s="31" t="s">
        <v>557</v>
      </c>
      <c r="L31" s="31" t="s">
        <v>73</v>
      </c>
      <c r="M31" s="31">
        <v>2021</v>
      </c>
      <c r="N31" s="31">
        <v>0</v>
      </c>
      <c r="O31" s="31">
        <v>308.91000000000003</v>
      </c>
      <c r="P31" s="31">
        <v>40.3906509857011</v>
      </c>
    </row>
    <row r="32" spans="1:16" ht="11.25" customHeight="1" x14ac:dyDescent="0.25">
      <c r="A32" s="31">
        <v>31</v>
      </c>
      <c r="B32" s="31" t="s">
        <v>439</v>
      </c>
      <c r="C32" s="31" t="s">
        <v>22</v>
      </c>
      <c r="D32" s="31" t="s">
        <v>86</v>
      </c>
      <c r="E32" s="31" t="s">
        <v>24</v>
      </c>
      <c r="F32" s="31" t="s">
        <v>29</v>
      </c>
      <c r="G32" s="31" t="s">
        <v>25</v>
      </c>
      <c r="H32" s="31" t="s">
        <v>25</v>
      </c>
      <c r="I32" s="31" t="s">
        <v>25</v>
      </c>
      <c r="J32" s="31" t="s">
        <v>558</v>
      </c>
      <c r="K32" s="31" t="s">
        <v>557</v>
      </c>
      <c r="L32" s="31" t="s">
        <v>73</v>
      </c>
      <c r="M32" s="31">
        <v>2021</v>
      </c>
      <c r="N32" s="31">
        <v>0</v>
      </c>
      <c r="O32" s="31">
        <v>93.77</v>
      </c>
      <c r="P32" s="31"/>
    </row>
    <row r="33" spans="1:16" ht="11.25" customHeight="1" x14ac:dyDescent="0.25">
      <c r="A33" s="31">
        <v>32</v>
      </c>
      <c r="B33" s="31" t="s">
        <v>439</v>
      </c>
      <c r="C33" s="31" t="s">
        <v>22</v>
      </c>
      <c r="D33" s="31" t="s">
        <v>86</v>
      </c>
      <c r="E33" s="31" t="s">
        <v>24</v>
      </c>
      <c r="F33" s="31" t="s">
        <v>24</v>
      </c>
      <c r="G33" s="31" t="s">
        <v>25</v>
      </c>
      <c r="H33" s="31" t="s">
        <v>25</v>
      </c>
      <c r="I33" s="31" t="s">
        <v>25</v>
      </c>
      <c r="J33" s="31" t="s">
        <v>558</v>
      </c>
      <c r="K33" s="31" t="s">
        <v>557</v>
      </c>
      <c r="L33" s="31" t="s">
        <v>73</v>
      </c>
      <c r="M33" s="31">
        <v>2021</v>
      </c>
      <c r="N33" s="31">
        <v>0</v>
      </c>
      <c r="O33" s="31">
        <v>267.91000000000003</v>
      </c>
      <c r="P33" s="31"/>
    </row>
    <row r="34" spans="1:16" ht="11.25" customHeight="1" x14ac:dyDescent="0.25">
      <c r="A34" s="31">
        <v>33</v>
      </c>
      <c r="B34" s="31" t="s">
        <v>411</v>
      </c>
      <c r="C34" s="31" t="s">
        <v>35</v>
      </c>
      <c r="D34" s="31" t="s">
        <v>36</v>
      </c>
      <c r="E34" s="31" t="s">
        <v>25</v>
      </c>
      <c r="F34" s="31" t="s">
        <v>25</v>
      </c>
      <c r="G34" s="31" t="s">
        <v>25</v>
      </c>
      <c r="H34" s="31" t="s">
        <v>25</v>
      </c>
      <c r="I34" s="31" t="s">
        <v>37</v>
      </c>
      <c r="J34" s="31" t="s">
        <v>558</v>
      </c>
      <c r="K34" s="31" t="s">
        <v>557</v>
      </c>
      <c r="L34" s="31" t="s">
        <v>73</v>
      </c>
      <c r="M34" s="31">
        <v>2021</v>
      </c>
      <c r="N34" s="31">
        <v>0</v>
      </c>
      <c r="O34" s="31">
        <v>1936.94</v>
      </c>
      <c r="P34" s="31">
        <v>41.833174235190398</v>
      </c>
    </row>
    <row r="35" spans="1:16" ht="11.25" customHeight="1" x14ac:dyDescent="0.25">
      <c r="A35" s="31">
        <v>34</v>
      </c>
      <c r="B35" s="31" t="s">
        <v>411</v>
      </c>
      <c r="C35" s="31" t="s">
        <v>35</v>
      </c>
      <c r="D35" s="31" t="s">
        <v>36</v>
      </c>
      <c r="E35" s="31" t="s">
        <v>25</v>
      </c>
      <c r="F35" s="31" t="s">
        <v>25</v>
      </c>
      <c r="G35" s="31" t="s">
        <v>80</v>
      </c>
      <c r="H35" s="31" t="s">
        <v>25</v>
      </c>
      <c r="I35" s="31" t="s">
        <v>38</v>
      </c>
      <c r="J35" s="31" t="s">
        <v>558</v>
      </c>
      <c r="K35" s="31" t="s">
        <v>557</v>
      </c>
      <c r="L35" s="31" t="s">
        <v>73</v>
      </c>
      <c r="M35" s="31">
        <v>2021</v>
      </c>
      <c r="N35" s="31">
        <v>0</v>
      </c>
      <c r="O35" s="31">
        <v>7.35</v>
      </c>
      <c r="P35" s="31">
        <v>0</v>
      </c>
    </row>
    <row r="36" spans="1:16" ht="11.25" customHeight="1" x14ac:dyDescent="0.25">
      <c r="A36" s="31">
        <v>35</v>
      </c>
      <c r="B36" s="31" t="s">
        <v>411</v>
      </c>
      <c r="C36" s="31" t="s">
        <v>22</v>
      </c>
      <c r="D36" s="31" t="s">
        <v>89</v>
      </c>
      <c r="E36" s="31" t="s">
        <v>24</v>
      </c>
      <c r="F36" s="31" t="s">
        <v>30</v>
      </c>
      <c r="G36" s="31" t="s">
        <v>25</v>
      </c>
      <c r="H36" s="31" t="s">
        <v>25</v>
      </c>
      <c r="I36" s="31" t="s">
        <v>25</v>
      </c>
      <c r="J36" s="31" t="s">
        <v>558</v>
      </c>
      <c r="K36" s="31" t="s">
        <v>557</v>
      </c>
      <c r="L36" s="31" t="s">
        <v>73</v>
      </c>
      <c r="M36" s="31">
        <v>2021</v>
      </c>
      <c r="N36" s="31">
        <v>0</v>
      </c>
      <c r="O36" s="31">
        <v>187.16</v>
      </c>
      <c r="P36" s="31">
        <v>0</v>
      </c>
    </row>
    <row r="37" spans="1:16" ht="11.25" customHeight="1" x14ac:dyDescent="0.25">
      <c r="A37" s="31">
        <v>36</v>
      </c>
      <c r="B37" s="31" t="s">
        <v>411</v>
      </c>
      <c r="C37" s="31" t="s">
        <v>82</v>
      </c>
      <c r="D37" s="31" t="s">
        <v>81</v>
      </c>
      <c r="E37" s="31" t="s">
        <v>25</v>
      </c>
      <c r="F37" s="31" t="s">
        <v>25</v>
      </c>
      <c r="G37" s="31" t="s">
        <v>83</v>
      </c>
      <c r="H37" s="31" t="s">
        <v>25</v>
      </c>
      <c r="I37" s="31" t="s">
        <v>25</v>
      </c>
      <c r="J37" s="31" t="s">
        <v>556</v>
      </c>
      <c r="K37" s="31" t="s">
        <v>557</v>
      </c>
      <c r="L37" s="31" t="s">
        <v>76</v>
      </c>
      <c r="M37" s="31">
        <v>2021</v>
      </c>
      <c r="N37" s="31">
        <v>0</v>
      </c>
      <c r="O37" s="31">
        <v>3.48</v>
      </c>
      <c r="P37" s="31">
        <v>0</v>
      </c>
    </row>
    <row r="38" spans="1:16" ht="11.25" customHeight="1" x14ac:dyDescent="0.25">
      <c r="A38" s="31">
        <v>37</v>
      </c>
      <c r="B38" s="31" t="s">
        <v>439</v>
      </c>
      <c r="C38" s="31" t="s">
        <v>22</v>
      </c>
      <c r="D38" s="31" t="s">
        <v>86</v>
      </c>
      <c r="E38" s="31" t="s">
        <v>24</v>
      </c>
      <c r="F38" s="31" t="s">
        <v>30</v>
      </c>
      <c r="G38" s="31" t="s">
        <v>25</v>
      </c>
      <c r="H38" s="31" t="s">
        <v>25</v>
      </c>
      <c r="I38" s="31" t="s">
        <v>25</v>
      </c>
      <c r="J38" s="31" t="s">
        <v>558</v>
      </c>
      <c r="K38" s="31" t="s">
        <v>557</v>
      </c>
      <c r="L38" s="31" t="s">
        <v>73</v>
      </c>
      <c r="M38" s="31">
        <v>2021</v>
      </c>
      <c r="N38" s="31">
        <v>0</v>
      </c>
      <c r="O38" s="31">
        <v>160.75</v>
      </c>
      <c r="P38" s="31"/>
    </row>
    <row r="39" spans="1:16" ht="11.25" customHeight="1" x14ac:dyDescent="0.25">
      <c r="A39" s="31">
        <v>38</v>
      </c>
      <c r="B39" s="31" t="s">
        <v>439</v>
      </c>
      <c r="C39" s="31" t="s">
        <v>40</v>
      </c>
      <c r="D39" s="31" t="s">
        <v>72</v>
      </c>
      <c r="E39" s="31" t="s">
        <v>41</v>
      </c>
      <c r="F39" s="31" t="s">
        <v>90</v>
      </c>
      <c r="G39" s="31" t="s">
        <v>25</v>
      </c>
      <c r="H39" s="31" t="s">
        <v>25</v>
      </c>
      <c r="I39" s="31" t="s">
        <v>559</v>
      </c>
      <c r="J39" s="31" t="s">
        <v>558</v>
      </c>
      <c r="K39" s="31" t="s">
        <v>557</v>
      </c>
      <c r="L39" s="31" t="s">
        <v>73</v>
      </c>
      <c r="M39" s="31">
        <v>2021</v>
      </c>
      <c r="N39" s="31">
        <v>0</v>
      </c>
      <c r="O39" s="31">
        <v>235.76</v>
      </c>
      <c r="P39" s="31"/>
    </row>
    <row r="40" spans="1:16" ht="11.25" customHeight="1" x14ac:dyDescent="0.25">
      <c r="A40" s="31">
        <v>39</v>
      </c>
      <c r="B40" s="31" t="s">
        <v>411</v>
      </c>
      <c r="C40" s="31" t="s">
        <v>40</v>
      </c>
      <c r="D40" s="31" t="s">
        <v>89</v>
      </c>
      <c r="E40" s="31" t="s">
        <v>41</v>
      </c>
      <c r="F40" s="31" t="s">
        <v>90</v>
      </c>
      <c r="G40" s="31" t="s">
        <v>25</v>
      </c>
      <c r="H40" s="31" t="s">
        <v>25</v>
      </c>
      <c r="I40" s="31" t="s">
        <v>25</v>
      </c>
      <c r="J40" s="31" t="s">
        <v>558</v>
      </c>
      <c r="K40" s="31" t="s">
        <v>557</v>
      </c>
      <c r="L40" s="31" t="s">
        <v>73</v>
      </c>
      <c r="M40" s="31">
        <v>2021</v>
      </c>
      <c r="N40" s="31">
        <v>0</v>
      </c>
      <c r="O40" s="31">
        <v>323.62</v>
      </c>
      <c r="P40" s="31">
        <v>42.314015318353597</v>
      </c>
    </row>
    <row r="41" spans="1:16" ht="11.25" customHeight="1" x14ac:dyDescent="0.25">
      <c r="A41" s="31">
        <v>40</v>
      </c>
      <c r="B41" s="31" t="s">
        <v>439</v>
      </c>
      <c r="C41" s="31" t="s">
        <v>22</v>
      </c>
      <c r="D41" s="31" t="s">
        <v>72</v>
      </c>
      <c r="E41" s="31" t="s">
        <v>24</v>
      </c>
      <c r="F41" s="31" t="s">
        <v>24</v>
      </c>
      <c r="G41" s="31" t="s">
        <v>25</v>
      </c>
      <c r="H41" s="31" t="s">
        <v>25</v>
      </c>
      <c r="I41" s="31" t="s">
        <v>38</v>
      </c>
      <c r="J41" s="31" t="s">
        <v>558</v>
      </c>
      <c r="K41" s="31" t="s">
        <v>557</v>
      </c>
      <c r="L41" s="31" t="s">
        <v>73</v>
      </c>
      <c r="M41" s="31">
        <v>2021</v>
      </c>
      <c r="N41" s="31">
        <v>0</v>
      </c>
      <c r="O41" s="31">
        <v>267.91000000000003</v>
      </c>
      <c r="P41" s="31"/>
    </row>
    <row r="42" spans="1:16" ht="11.25" customHeight="1" x14ac:dyDescent="0.25">
      <c r="A42" s="31">
        <v>41</v>
      </c>
      <c r="B42" s="31" t="s">
        <v>411</v>
      </c>
      <c r="C42" s="31" t="s">
        <v>22</v>
      </c>
      <c r="D42" s="31" t="s">
        <v>89</v>
      </c>
      <c r="E42" s="31" t="s">
        <v>24</v>
      </c>
      <c r="F42" s="31" t="s">
        <v>31</v>
      </c>
      <c r="G42" s="31" t="s">
        <v>25</v>
      </c>
      <c r="H42" s="31" t="s">
        <v>25</v>
      </c>
      <c r="I42" s="31" t="s">
        <v>25</v>
      </c>
      <c r="J42" s="31" t="s">
        <v>558</v>
      </c>
      <c r="K42" s="31" t="s">
        <v>557</v>
      </c>
      <c r="L42" s="31" t="s">
        <v>73</v>
      </c>
      <c r="M42" s="31">
        <v>2021</v>
      </c>
      <c r="N42" s="31">
        <v>0</v>
      </c>
      <c r="O42" s="31">
        <v>280.74</v>
      </c>
      <c r="P42" s="31">
        <v>0</v>
      </c>
    </row>
    <row r="43" spans="1:16" ht="11.25" customHeight="1" x14ac:dyDescent="0.25">
      <c r="A43" s="31">
        <v>42</v>
      </c>
      <c r="B43" s="31" t="s">
        <v>411</v>
      </c>
      <c r="C43" s="31" t="s">
        <v>22</v>
      </c>
      <c r="D43" s="31" t="s">
        <v>23</v>
      </c>
      <c r="E43" s="31" t="s">
        <v>24</v>
      </c>
      <c r="F43" s="31" t="s">
        <v>31</v>
      </c>
      <c r="G43" s="31" t="s">
        <v>25</v>
      </c>
      <c r="H43" s="31" t="s">
        <v>25</v>
      </c>
      <c r="I43" s="31" t="s">
        <v>25</v>
      </c>
      <c r="J43" s="31" t="s">
        <v>558</v>
      </c>
      <c r="K43" s="31" t="s">
        <v>557</v>
      </c>
      <c r="L43" s="31" t="s">
        <v>73</v>
      </c>
      <c r="M43" s="31">
        <v>2021</v>
      </c>
      <c r="N43" s="31">
        <v>0</v>
      </c>
      <c r="O43" s="31">
        <v>280.74</v>
      </c>
      <c r="P43" s="31">
        <v>0</v>
      </c>
    </row>
    <row r="44" spans="1:16" ht="11.25" customHeight="1" x14ac:dyDescent="0.25">
      <c r="A44" s="31">
        <v>43</v>
      </c>
      <c r="B44" s="31" t="s">
        <v>439</v>
      </c>
      <c r="C44" s="31" t="s">
        <v>22</v>
      </c>
      <c r="D44" s="31" t="s">
        <v>86</v>
      </c>
      <c r="E44" s="31" t="s">
        <v>24</v>
      </c>
      <c r="F44" s="31" t="s">
        <v>32</v>
      </c>
      <c r="G44" s="31" t="s">
        <v>25</v>
      </c>
      <c r="H44" s="31" t="s">
        <v>25</v>
      </c>
      <c r="I44" s="31" t="s">
        <v>25</v>
      </c>
      <c r="J44" s="31" t="s">
        <v>558</v>
      </c>
      <c r="K44" s="31" t="s">
        <v>557</v>
      </c>
      <c r="L44" s="31" t="s">
        <v>73</v>
      </c>
      <c r="M44" s="31">
        <v>2021</v>
      </c>
      <c r="N44" s="31">
        <v>0</v>
      </c>
      <c r="O44" s="31">
        <v>267.91000000000003</v>
      </c>
      <c r="P44" s="31"/>
    </row>
    <row r="45" spans="1:16" ht="11.25" customHeight="1" x14ac:dyDescent="0.25">
      <c r="A45" s="31">
        <v>44</v>
      </c>
      <c r="B45" s="31" t="s">
        <v>439</v>
      </c>
      <c r="C45" s="31" t="s">
        <v>40</v>
      </c>
      <c r="D45" s="31" t="s">
        <v>86</v>
      </c>
      <c r="E45" s="31" t="s">
        <v>41</v>
      </c>
      <c r="F45" s="31" t="s">
        <v>90</v>
      </c>
      <c r="G45" s="31" t="s">
        <v>25</v>
      </c>
      <c r="H45" s="31" t="s">
        <v>25</v>
      </c>
      <c r="I45" s="31" t="s">
        <v>25</v>
      </c>
      <c r="J45" s="31" t="s">
        <v>558</v>
      </c>
      <c r="K45" s="31" t="s">
        <v>557</v>
      </c>
      <c r="L45" s="31" t="s">
        <v>73</v>
      </c>
      <c r="M45" s="31">
        <v>2021</v>
      </c>
      <c r="N45" s="31">
        <v>0</v>
      </c>
      <c r="O45" s="31">
        <v>235.76</v>
      </c>
      <c r="P45" s="31"/>
    </row>
    <row r="46" spans="1:16" ht="11.25" customHeight="1" x14ac:dyDescent="0.25">
      <c r="A46" s="31">
        <v>45</v>
      </c>
      <c r="B46" s="31" t="s">
        <v>411</v>
      </c>
      <c r="C46" s="31" t="s">
        <v>35</v>
      </c>
      <c r="D46" s="31" t="s">
        <v>36</v>
      </c>
      <c r="E46" s="31" t="s">
        <v>25</v>
      </c>
      <c r="F46" s="31" t="s">
        <v>25</v>
      </c>
      <c r="G46" s="31" t="s">
        <v>80</v>
      </c>
      <c r="H46" s="31" t="s">
        <v>25</v>
      </c>
      <c r="I46" s="31" t="s">
        <v>37</v>
      </c>
      <c r="J46" s="31" t="s">
        <v>558</v>
      </c>
      <c r="K46" s="31" t="s">
        <v>557</v>
      </c>
      <c r="L46" s="31" t="s">
        <v>73</v>
      </c>
      <c r="M46" s="31">
        <v>2021</v>
      </c>
      <c r="N46" s="31">
        <v>0</v>
      </c>
      <c r="O46" s="31">
        <v>1887.37</v>
      </c>
      <c r="P46" s="31">
        <v>0</v>
      </c>
    </row>
    <row r="47" spans="1:16" ht="11.25" customHeight="1" x14ac:dyDescent="0.25">
      <c r="A47" s="31">
        <v>46</v>
      </c>
      <c r="B47" s="31" t="s">
        <v>439</v>
      </c>
      <c r="C47" s="31" t="s">
        <v>40</v>
      </c>
      <c r="D47" s="31" t="s">
        <v>72</v>
      </c>
      <c r="E47" s="31" t="s">
        <v>41</v>
      </c>
      <c r="F47" s="31" t="s">
        <v>90</v>
      </c>
      <c r="G47" s="31" t="s">
        <v>25</v>
      </c>
      <c r="H47" s="31" t="s">
        <v>25</v>
      </c>
      <c r="I47" s="31" t="s">
        <v>37</v>
      </c>
      <c r="J47" s="31" t="s">
        <v>558</v>
      </c>
      <c r="K47" s="31" t="s">
        <v>557</v>
      </c>
      <c r="L47" s="31" t="s">
        <v>73</v>
      </c>
      <c r="M47" s="31">
        <v>2021</v>
      </c>
      <c r="N47" s="31">
        <v>0</v>
      </c>
      <c r="O47" s="31">
        <v>235.76</v>
      </c>
      <c r="P47" s="31"/>
    </row>
    <row r="48" spans="1:16" ht="11.25" customHeight="1" x14ac:dyDescent="0.25">
      <c r="A48" s="31">
        <v>47</v>
      </c>
      <c r="B48" s="31" t="s">
        <v>439</v>
      </c>
      <c r="C48" s="31" t="s">
        <v>33</v>
      </c>
      <c r="D48" s="31" t="s">
        <v>72</v>
      </c>
      <c r="E48" s="31" t="s">
        <v>25</v>
      </c>
      <c r="F48" s="31" t="s">
        <v>25</v>
      </c>
      <c r="G48" s="31" t="s">
        <v>25</v>
      </c>
      <c r="H48" s="31" t="s">
        <v>25</v>
      </c>
      <c r="I48" s="31" t="s">
        <v>38</v>
      </c>
      <c r="J48" s="31" t="s">
        <v>558</v>
      </c>
      <c r="K48" s="31" t="s">
        <v>557</v>
      </c>
      <c r="L48" s="31" t="s">
        <v>73</v>
      </c>
      <c r="M48" s="31">
        <v>2021</v>
      </c>
      <c r="N48" s="31">
        <v>0</v>
      </c>
      <c r="O48" s="31">
        <v>267.91000000000003</v>
      </c>
      <c r="P48" s="31"/>
    </row>
    <row r="49" spans="1:16" ht="11.25" customHeight="1" x14ac:dyDescent="0.25">
      <c r="A49" s="31">
        <v>48</v>
      </c>
      <c r="B49" s="31" t="s">
        <v>439</v>
      </c>
      <c r="C49" s="31" t="s">
        <v>22</v>
      </c>
      <c r="D49" s="31" t="s">
        <v>86</v>
      </c>
      <c r="E49" s="31" t="s">
        <v>24</v>
      </c>
      <c r="F49" s="31" t="s">
        <v>31</v>
      </c>
      <c r="G49" s="31" t="s">
        <v>25</v>
      </c>
      <c r="H49" s="31" t="s">
        <v>25</v>
      </c>
      <c r="I49" s="31" t="s">
        <v>25</v>
      </c>
      <c r="J49" s="31" t="s">
        <v>558</v>
      </c>
      <c r="K49" s="31" t="s">
        <v>557</v>
      </c>
      <c r="L49" s="31" t="s">
        <v>73</v>
      </c>
      <c r="M49" s="31">
        <v>2021</v>
      </c>
      <c r="N49" s="31">
        <v>0</v>
      </c>
      <c r="O49" s="31">
        <v>241.12</v>
      </c>
      <c r="P49" s="31"/>
    </row>
    <row r="50" spans="1:16" ht="11.25" customHeight="1" x14ac:dyDescent="0.25">
      <c r="A50" s="31">
        <v>49</v>
      </c>
      <c r="B50" s="31" t="s">
        <v>439</v>
      </c>
      <c r="C50" s="31" t="s">
        <v>40</v>
      </c>
      <c r="D50" s="31" t="s">
        <v>72</v>
      </c>
      <c r="E50" s="31" t="s">
        <v>41</v>
      </c>
      <c r="F50" s="31" t="s">
        <v>90</v>
      </c>
      <c r="G50" s="31" t="s">
        <v>25</v>
      </c>
      <c r="H50" s="31" t="s">
        <v>25</v>
      </c>
      <c r="I50" s="31" t="s">
        <v>38</v>
      </c>
      <c r="J50" s="31" t="s">
        <v>558</v>
      </c>
      <c r="K50" s="31" t="s">
        <v>557</v>
      </c>
      <c r="L50" s="31" t="s">
        <v>73</v>
      </c>
      <c r="M50" s="31">
        <v>2021</v>
      </c>
      <c r="N50" s="31">
        <v>0</v>
      </c>
      <c r="O50" s="31">
        <v>235.76</v>
      </c>
      <c r="P50" s="31"/>
    </row>
    <row r="51" spans="1:16" ht="11.25" customHeight="1" x14ac:dyDescent="0.25">
      <c r="A51" s="31">
        <v>50</v>
      </c>
      <c r="B51" s="31" t="s">
        <v>411</v>
      </c>
      <c r="C51" s="31" t="s">
        <v>40</v>
      </c>
      <c r="D51" s="31" t="s">
        <v>87</v>
      </c>
      <c r="E51" s="31" t="s">
        <v>41</v>
      </c>
      <c r="F51" s="31" t="s">
        <v>91</v>
      </c>
      <c r="G51" s="31" t="s">
        <v>25</v>
      </c>
      <c r="H51" s="31" t="s">
        <v>25</v>
      </c>
      <c r="I51" s="31" t="s">
        <v>37</v>
      </c>
      <c r="J51" s="31" t="s">
        <v>558</v>
      </c>
      <c r="K51" s="31" t="s">
        <v>557</v>
      </c>
      <c r="L51" s="31" t="s">
        <v>73</v>
      </c>
      <c r="M51" s="31">
        <v>2021</v>
      </c>
      <c r="N51" s="31">
        <v>0</v>
      </c>
      <c r="O51" s="31">
        <v>841.17</v>
      </c>
      <c r="P51" s="31">
        <v>40.3906509857011</v>
      </c>
    </row>
    <row r="52" spans="1:16" ht="11.25" customHeight="1" x14ac:dyDescent="0.25">
      <c r="A52" s="31">
        <v>51</v>
      </c>
      <c r="B52" s="31" t="s">
        <v>439</v>
      </c>
      <c r="C52" s="31" t="s">
        <v>35</v>
      </c>
      <c r="D52" s="31" t="s">
        <v>72</v>
      </c>
      <c r="E52" s="31" t="s">
        <v>25</v>
      </c>
      <c r="F52" s="31" t="s">
        <v>25</v>
      </c>
      <c r="G52" s="31" t="s">
        <v>25</v>
      </c>
      <c r="H52" s="31" t="s">
        <v>25</v>
      </c>
      <c r="I52" s="31" t="s">
        <v>37</v>
      </c>
      <c r="J52" s="31" t="s">
        <v>558</v>
      </c>
      <c r="K52" s="31" t="s">
        <v>557</v>
      </c>
      <c r="L52" s="31" t="s">
        <v>73</v>
      </c>
      <c r="M52" s="31">
        <v>2021</v>
      </c>
      <c r="N52" s="31">
        <v>0</v>
      </c>
      <c r="O52" s="31">
        <v>267.91000000000003</v>
      </c>
      <c r="P52" s="31"/>
    </row>
    <row r="53" spans="1:16" ht="11.25" customHeight="1" x14ac:dyDescent="0.25">
      <c r="A53" s="31">
        <v>52</v>
      </c>
      <c r="B53" s="31" t="s">
        <v>439</v>
      </c>
      <c r="C53" s="31" t="s">
        <v>40</v>
      </c>
      <c r="D53" s="31" t="s">
        <v>86</v>
      </c>
      <c r="E53" s="31" t="s">
        <v>41</v>
      </c>
      <c r="F53" s="31" t="s">
        <v>25</v>
      </c>
      <c r="G53" s="31" t="s">
        <v>25</v>
      </c>
      <c r="H53" s="31" t="s">
        <v>25</v>
      </c>
      <c r="I53" s="31" t="s">
        <v>25</v>
      </c>
      <c r="J53" s="31" t="s">
        <v>558</v>
      </c>
      <c r="K53" s="31" t="s">
        <v>557</v>
      </c>
      <c r="L53" s="31" t="s">
        <v>73</v>
      </c>
      <c r="M53" s="31">
        <v>2021</v>
      </c>
      <c r="N53" s="31">
        <v>0</v>
      </c>
      <c r="O53" s="31">
        <v>235.76</v>
      </c>
      <c r="P53" s="31"/>
    </row>
    <row r="54" spans="1:16" ht="11.25" customHeight="1" x14ac:dyDescent="0.25">
      <c r="A54" s="31">
        <v>53</v>
      </c>
      <c r="B54" s="31" t="s">
        <v>439</v>
      </c>
      <c r="C54" s="31" t="s">
        <v>33</v>
      </c>
      <c r="D54" s="31" t="s">
        <v>72</v>
      </c>
      <c r="E54" s="31" t="s">
        <v>25</v>
      </c>
      <c r="F54" s="31" t="s">
        <v>25</v>
      </c>
      <c r="G54" s="31" t="s">
        <v>25</v>
      </c>
      <c r="H54" s="31" t="s">
        <v>25</v>
      </c>
      <c r="I54" s="31" t="s">
        <v>559</v>
      </c>
      <c r="J54" s="31" t="s">
        <v>558</v>
      </c>
      <c r="K54" s="31" t="s">
        <v>557</v>
      </c>
      <c r="L54" s="31" t="s">
        <v>73</v>
      </c>
      <c r="M54" s="31">
        <v>2021</v>
      </c>
      <c r="N54" s="31">
        <v>0</v>
      </c>
      <c r="O54" s="31">
        <v>267.91000000000003</v>
      </c>
      <c r="P54" s="31"/>
    </row>
    <row r="55" spans="1:16" ht="11.25" customHeight="1" x14ac:dyDescent="0.25">
      <c r="A55" s="31">
        <v>54</v>
      </c>
      <c r="B55" s="31" t="s">
        <v>411</v>
      </c>
      <c r="C55" s="31" t="s">
        <v>40</v>
      </c>
      <c r="D55" s="31" t="s">
        <v>87</v>
      </c>
      <c r="E55" s="31" t="s">
        <v>41</v>
      </c>
      <c r="F55" s="31" t="s">
        <v>91</v>
      </c>
      <c r="G55" s="31" t="s">
        <v>25</v>
      </c>
      <c r="H55" s="31" t="s">
        <v>25</v>
      </c>
      <c r="I55" s="31" t="s">
        <v>559</v>
      </c>
      <c r="J55" s="31" t="s">
        <v>558</v>
      </c>
      <c r="K55" s="31" t="s">
        <v>557</v>
      </c>
      <c r="L55" s="31" t="s">
        <v>73</v>
      </c>
      <c r="M55" s="31">
        <v>2021</v>
      </c>
      <c r="N55" s="31">
        <v>0</v>
      </c>
      <c r="O55" s="31">
        <v>529.24</v>
      </c>
      <c r="P55" s="31">
        <v>40.3906509857011</v>
      </c>
    </row>
    <row r="56" spans="1:16" ht="11.25" customHeight="1" x14ac:dyDescent="0.25">
      <c r="A56" s="31">
        <v>55</v>
      </c>
      <c r="B56" s="31" t="s">
        <v>439</v>
      </c>
      <c r="C56" s="31" t="s">
        <v>22</v>
      </c>
      <c r="D56" s="31" t="s">
        <v>88</v>
      </c>
      <c r="E56" s="31" t="s">
        <v>24</v>
      </c>
      <c r="F56" s="31" t="s">
        <v>24</v>
      </c>
      <c r="G56" s="31" t="s">
        <v>25</v>
      </c>
      <c r="H56" s="31" t="s">
        <v>25</v>
      </c>
      <c r="I56" s="31" t="s">
        <v>25</v>
      </c>
      <c r="J56" s="31" t="s">
        <v>558</v>
      </c>
      <c r="K56" s="31" t="s">
        <v>557</v>
      </c>
      <c r="L56" s="31" t="s">
        <v>73</v>
      </c>
      <c r="M56" s="31">
        <v>2021</v>
      </c>
      <c r="N56" s="31">
        <v>0</v>
      </c>
      <c r="O56" s="31">
        <v>267.91000000000003</v>
      </c>
      <c r="P56" s="31"/>
    </row>
    <row r="57" spans="1:16" ht="11.25" customHeight="1" x14ac:dyDescent="0.25">
      <c r="A57" s="31">
        <v>56</v>
      </c>
      <c r="B57" s="31" t="s">
        <v>439</v>
      </c>
      <c r="C57" s="31" t="s">
        <v>40</v>
      </c>
      <c r="D57" s="31" t="s">
        <v>72</v>
      </c>
      <c r="E57" s="31" t="s">
        <v>41</v>
      </c>
      <c r="F57" s="31" t="s">
        <v>91</v>
      </c>
      <c r="G57" s="31" t="s">
        <v>25</v>
      </c>
      <c r="H57" s="31" t="s">
        <v>25</v>
      </c>
      <c r="I57" s="31" t="s">
        <v>37</v>
      </c>
      <c r="J57" s="31" t="s">
        <v>558</v>
      </c>
      <c r="K57" s="31" t="s">
        <v>557</v>
      </c>
      <c r="L57" s="31" t="s">
        <v>73</v>
      </c>
      <c r="M57" s="31">
        <v>2021</v>
      </c>
      <c r="N57" s="31">
        <v>0</v>
      </c>
      <c r="O57" s="31">
        <v>225.05</v>
      </c>
      <c r="P57" s="31"/>
    </row>
    <row r="58" spans="1:16" ht="11.25" customHeight="1" x14ac:dyDescent="0.25">
      <c r="A58" s="31">
        <v>57</v>
      </c>
      <c r="B58" s="31" t="s">
        <v>411</v>
      </c>
      <c r="C58" s="31" t="s">
        <v>40</v>
      </c>
      <c r="D58" s="31" t="s">
        <v>23</v>
      </c>
      <c r="E58" s="31" t="s">
        <v>41</v>
      </c>
      <c r="F58" s="31" t="s">
        <v>90</v>
      </c>
      <c r="G58" s="31" t="s">
        <v>25</v>
      </c>
      <c r="H58" s="31" t="s">
        <v>25</v>
      </c>
      <c r="I58" s="31" t="s">
        <v>25</v>
      </c>
      <c r="J58" s="31" t="s">
        <v>558</v>
      </c>
      <c r="K58" s="31" t="s">
        <v>557</v>
      </c>
      <c r="L58" s="31" t="s">
        <v>73</v>
      </c>
      <c r="M58" s="31">
        <v>2021</v>
      </c>
      <c r="N58" s="31">
        <v>0</v>
      </c>
      <c r="O58" s="31">
        <v>323.62</v>
      </c>
      <c r="P58" s="31">
        <v>42.314015318353597</v>
      </c>
    </row>
    <row r="59" spans="1:16" ht="11.25" customHeight="1" x14ac:dyDescent="0.25">
      <c r="A59" s="31">
        <v>58</v>
      </c>
      <c r="B59" s="31" t="s">
        <v>411</v>
      </c>
      <c r="C59" s="31" t="s">
        <v>43</v>
      </c>
      <c r="D59" s="31" t="s">
        <v>23</v>
      </c>
      <c r="E59" s="31" t="s">
        <v>44</v>
      </c>
      <c r="F59" s="31" t="s">
        <v>45</v>
      </c>
      <c r="G59" s="31" t="s">
        <v>25</v>
      </c>
      <c r="H59" s="31" t="s">
        <v>25</v>
      </c>
      <c r="I59" s="31" t="s">
        <v>25</v>
      </c>
      <c r="J59" s="31" t="s">
        <v>558</v>
      </c>
      <c r="K59" s="31" t="s">
        <v>557</v>
      </c>
      <c r="L59" s="31" t="s">
        <v>73</v>
      </c>
      <c r="M59" s="31">
        <v>2021</v>
      </c>
      <c r="N59" s="31">
        <v>0</v>
      </c>
      <c r="O59" s="31">
        <v>202.26</v>
      </c>
      <c r="P59" s="31">
        <v>26.446259573970998</v>
      </c>
    </row>
    <row r="60" spans="1:16" ht="11.25" customHeight="1" x14ac:dyDescent="0.25">
      <c r="A60" s="31">
        <v>59</v>
      </c>
      <c r="B60" s="31" t="s">
        <v>411</v>
      </c>
      <c r="C60" s="31" t="s">
        <v>40</v>
      </c>
      <c r="D60" s="31" t="s">
        <v>87</v>
      </c>
      <c r="E60" s="31" t="s">
        <v>41</v>
      </c>
      <c r="F60" s="31" t="s">
        <v>91</v>
      </c>
      <c r="G60" s="31" t="s">
        <v>25</v>
      </c>
      <c r="H60" s="31" t="s">
        <v>25</v>
      </c>
      <c r="I60" s="31" t="s">
        <v>38</v>
      </c>
      <c r="J60" s="31" t="s">
        <v>558</v>
      </c>
      <c r="K60" s="31" t="s">
        <v>557</v>
      </c>
      <c r="L60" s="31" t="s">
        <v>73</v>
      </c>
      <c r="M60" s="31">
        <v>2021</v>
      </c>
      <c r="N60" s="31">
        <v>0</v>
      </c>
      <c r="O60" s="31">
        <v>217.31</v>
      </c>
      <c r="P60" s="31">
        <v>40.3906509857011</v>
      </c>
    </row>
    <row r="61" spans="1:16" ht="11.25" customHeight="1" x14ac:dyDescent="0.25">
      <c r="A61" s="31">
        <v>60</v>
      </c>
      <c r="B61" s="31" t="s">
        <v>439</v>
      </c>
      <c r="C61" s="31" t="s">
        <v>22</v>
      </c>
      <c r="D61" s="31" t="s">
        <v>72</v>
      </c>
      <c r="E61" s="31" t="s">
        <v>24</v>
      </c>
      <c r="F61" s="31" t="s">
        <v>24</v>
      </c>
      <c r="G61" s="31" t="s">
        <v>25</v>
      </c>
      <c r="H61" s="31" t="s">
        <v>25</v>
      </c>
      <c r="I61" s="31" t="s">
        <v>37</v>
      </c>
      <c r="J61" s="31" t="s">
        <v>558</v>
      </c>
      <c r="K61" s="31" t="s">
        <v>557</v>
      </c>
      <c r="L61" s="31" t="s">
        <v>73</v>
      </c>
      <c r="M61" s="31">
        <v>2021</v>
      </c>
      <c r="N61" s="31">
        <v>0</v>
      </c>
      <c r="O61" s="31">
        <v>267.91000000000003</v>
      </c>
      <c r="P61" s="31"/>
    </row>
    <row r="62" spans="1:16" ht="11.25" customHeight="1" x14ac:dyDescent="0.25">
      <c r="A62" s="31">
        <v>61</v>
      </c>
      <c r="B62" s="31" t="s">
        <v>411</v>
      </c>
      <c r="C62" s="31" t="s">
        <v>40</v>
      </c>
      <c r="D62" s="31" t="s">
        <v>89</v>
      </c>
      <c r="E62" s="31" t="s">
        <v>41</v>
      </c>
      <c r="F62" s="31" t="s">
        <v>25</v>
      </c>
      <c r="G62" s="31" t="s">
        <v>25</v>
      </c>
      <c r="H62" s="31" t="s">
        <v>25</v>
      </c>
      <c r="I62" s="31" t="s">
        <v>25</v>
      </c>
      <c r="J62" s="31" t="s">
        <v>558</v>
      </c>
      <c r="K62" s="31" t="s">
        <v>557</v>
      </c>
      <c r="L62" s="31" t="s">
        <v>73</v>
      </c>
      <c r="M62" s="31">
        <v>2021</v>
      </c>
      <c r="N62" s="31">
        <v>0</v>
      </c>
      <c r="O62" s="31">
        <v>323.62</v>
      </c>
      <c r="P62" s="31">
        <v>42.314015318353597</v>
      </c>
    </row>
    <row r="63" spans="1:16" ht="11.25" customHeight="1" x14ac:dyDescent="0.25">
      <c r="A63" s="31">
        <v>62</v>
      </c>
      <c r="B63" s="31" t="s">
        <v>439</v>
      </c>
      <c r="C63" s="31" t="s">
        <v>22</v>
      </c>
      <c r="D63" s="31" t="s">
        <v>72</v>
      </c>
      <c r="E63" s="31" t="s">
        <v>24</v>
      </c>
      <c r="F63" s="31" t="s">
        <v>24</v>
      </c>
      <c r="G63" s="31" t="s">
        <v>25</v>
      </c>
      <c r="H63" s="31" t="s">
        <v>25</v>
      </c>
      <c r="I63" s="31" t="s">
        <v>559</v>
      </c>
      <c r="J63" s="31" t="s">
        <v>558</v>
      </c>
      <c r="K63" s="31" t="s">
        <v>557</v>
      </c>
      <c r="L63" s="31" t="s">
        <v>73</v>
      </c>
      <c r="M63" s="31">
        <v>2021</v>
      </c>
      <c r="N63" s="31">
        <v>0</v>
      </c>
      <c r="O63" s="31">
        <v>267.91000000000003</v>
      </c>
      <c r="P63" s="31"/>
    </row>
    <row r="64" spans="1:16" ht="11.25" customHeight="1" x14ac:dyDescent="0.25">
      <c r="A64" s="31">
        <v>63</v>
      </c>
      <c r="B64" s="31" t="s">
        <v>411</v>
      </c>
      <c r="C64" s="31" t="s">
        <v>40</v>
      </c>
      <c r="D64" s="31" t="s">
        <v>87</v>
      </c>
      <c r="E64" s="31" t="s">
        <v>41</v>
      </c>
      <c r="F64" s="31" t="s">
        <v>90</v>
      </c>
      <c r="G64" s="31" t="s">
        <v>25</v>
      </c>
      <c r="H64" s="31" t="s">
        <v>25</v>
      </c>
      <c r="I64" s="31" t="s">
        <v>38</v>
      </c>
      <c r="J64" s="31" t="s">
        <v>558</v>
      </c>
      <c r="K64" s="31" t="s">
        <v>557</v>
      </c>
      <c r="L64" s="31" t="s">
        <v>73</v>
      </c>
      <c r="M64" s="31">
        <v>2021</v>
      </c>
      <c r="N64" s="31">
        <v>0</v>
      </c>
      <c r="O64" s="31">
        <v>227.66</v>
      </c>
      <c r="P64" s="31">
        <v>42.314015318353597</v>
      </c>
    </row>
    <row r="65" spans="1:16" ht="11.25" customHeight="1" x14ac:dyDescent="0.25">
      <c r="A65" s="31">
        <v>64</v>
      </c>
      <c r="B65" s="31" t="s">
        <v>411</v>
      </c>
      <c r="C65" s="31" t="s">
        <v>43</v>
      </c>
      <c r="D65" s="31" t="s">
        <v>23</v>
      </c>
      <c r="E65" s="31" t="s">
        <v>44</v>
      </c>
      <c r="F65" s="31" t="s">
        <v>46</v>
      </c>
      <c r="G65" s="31" t="s">
        <v>25</v>
      </c>
      <c r="H65" s="31" t="s">
        <v>25</v>
      </c>
      <c r="I65" s="31" t="s">
        <v>25</v>
      </c>
      <c r="J65" s="31" t="s">
        <v>558</v>
      </c>
      <c r="K65" s="31" t="s">
        <v>557</v>
      </c>
      <c r="L65" s="31" t="s">
        <v>73</v>
      </c>
      <c r="M65" s="31">
        <v>2021</v>
      </c>
      <c r="N65" s="31">
        <v>0</v>
      </c>
      <c r="O65" s="31">
        <v>220.65</v>
      </c>
      <c r="P65" s="31">
        <v>28.850464989786499</v>
      </c>
    </row>
    <row r="66" spans="1:16" ht="11.25" customHeight="1" x14ac:dyDescent="0.25">
      <c r="A66" s="31">
        <v>65</v>
      </c>
      <c r="B66" s="31" t="s">
        <v>439</v>
      </c>
      <c r="C66" s="31" t="s">
        <v>22</v>
      </c>
      <c r="D66" s="31" t="s">
        <v>88</v>
      </c>
      <c r="E66" s="31" t="s">
        <v>24</v>
      </c>
      <c r="F66" s="31" t="s">
        <v>31</v>
      </c>
      <c r="G66" s="31" t="s">
        <v>25</v>
      </c>
      <c r="H66" s="31" t="s">
        <v>25</v>
      </c>
      <c r="I66" s="31" t="s">
        <v>25</v>
      </c>
      <c r="J66" s="31" t="s">
        <v>558</v>
      </c>
      <c r="K66" s="31" t="s">
        <v>557</v>
      </c>
      <c r="L66" s="31" t="s">
        <v>73</v>
      </c>
      <c r="M66" s="31">
        <v>2021</v>
      </c>
      <c r="N66" s="31">
        <v>0</v>
      </c>
      <c r="O66" s="31">
        <v>241.12</v>
      </c>
      <c r="P66" s="31"/>
    </row>
    <row r="67" spans="1:16" ht="11.25" customHeight="1" x14ac:dyDescent="0.25">
      <c r="A67" s="31">
        <v>66</v>
      </c>
      <c r="B67" s="31" t="s">
        <v>439</v>
      </c>
      <c r="C67" s="31" t="s">
        <v>40</v>
      </c>
      <c r="D67" s="31" t="s">
        <v>86</v>
      </c>
      <c r="E67" s="31" t="s">
        <v>41</v>
      </c>
      <c r="F67" s="31" t="s">
        <v>91</v>
      </c>
      <c r="G67" s="31" t="s">
        <v>25</v>
      </c>
      <c r="H67" s="31" t="s">
        <v>25</v>
      </c>
      <c r="I67" s="31" t="s">
        <v>25</v>
      </c>
      <c r="J67" s="31" t="s">
        <v>558</v>
      </c>
      <c r="K67" s="31" t="s">
        <v>557</v>
      </c>
      <c r="L67" s="31" t="s">
        <v>73</v>
      </c>
      <c r="M67" s="31">
        <v>2021</v>
      </c>
      <c r="N67" s="31">
        <v>0</v>
      </c>
      <c r="O67" s="31">
        <v>225.05</v>
      </c>
      <c r="P67" s="31"/>
    </row>
    <row r="68" spans="1:16" ht="11.25" customHeight="1" x14ac:dyDescent="0.25">
      <c r="A68" s="31">
        <v>67</v>
      </c>
      <c r="B68" s="31" t="s">
        <v>439</v>
      </c>
      <c r="C68" s="31" t="s">
        <v>35</v>
      </c>
      <c r="D68" s="31" t="s">
        <v>72</v>
      </c>
      <c r="E68" s="31" t="s">
        <v>25</v>
      </c>
      <c r="F68" s="31" t="s">
        <v>25</v>
      </c>
      <c r="G68" s="31" t="s">
        <v>25</v>
      </c>
      <c r="H68" s="31" t="s">
        <v>25</v>
      </c>
      <c r="I68" s="31" t="s">
        <v>38</v>
      </c>
      <c r="J68" s="31" t="s">
        <v>558</v>
      </c>
      <c r="K68" s="31" t="s">
        <v>557</v>
      </c>
      <c r="L68" s="31" t="s">
        <v>73</v>
      </c>
      <c r="M68" s="31">
        <v>2021</v>
      </c>
      <c r="N68" s="31">
        <v>0</v>
      </c>
      <c r="O68" s="31">
        <v>267.91000000000003</v>
      </c>
      <c r="P68" s="31"/>
    </row>
    <row r="69" spans="1:16" ht="11.25" customHeight="1" x14ac:dyDescent="0.25">
      <c r="A69" s="31">
        <v>68</v>
      </c>
      <c r="B69" s="31" t="s">
        <v>439</v>
      </c>
      <c r="C69" s="31" t="s">
        <v>22</v>
      </c>
      <c r="D69" s="31" t="s">
        <v>88</v>
      </c>
      <c r="E69" s="31" t="s">
        <v>24</v>
      </c>
      <c r="F69" s="31" t="s">
        <v>32</v>
      </c>
      <c r="G69" s="31" t="s">
        <v>25</v>
      </c>
      <c r="H69" s="31" t="s">
        <v>25</v>
      </c>
      <c r="I69" s="31" t="s">
        <v>25</v>
      </c>
      <c r="J69" s="31" t="s">
        <v>558</v>
      </c>
      <c r="K69" s="31" t="s">
        <v>557</v>
      </c>
      <c r="L69" s="31" t="s">
        <v>73</v>
      </c>
      <c r="M69" s="31">
        <v>2021</v>
      </c>
      <c r="N69" s="31">
        <v>0</v>
      </c>
      <c r="O69" s="31">
        <v>267.91000000000003</v>
      </c>
      <c r="P69" s="31"/>
    </row>
    <row r="70" spans="1:16" ht="11.25" customHeight="1" x14ac:dyDescent="0.25">
      <c r="A70" s="31">
        <v>69</v>
      </c>
      <c r="B70" s="31" t="s">
        <v>439</v>
      </c>
      <c r="C70" s="31" t="s">
        <v>40</v>
      </c>
      <c r="D70" s="31" t="s">
        <v>88</v>
      </c>
      <c r="E70" s="31" t="s">
        <v>41</v>
      </c>
      <c r="F70" s="31" t="s">
        <v>25</v>
      </c>
      <c r="G70" s="31" t="s">
        <v>25</v>
      </c>
      <c r="H70" s="31" t="s">
        <v>25</v>
      </c>
      <c r="I70" s="31" t="s">
        <v>25</v>
      </c>
      <c r="J70" s="31" t="s">
        <v>558</v>
      </c>
      <c r="K70" s="31" t="s">
        <v>557</v>
      </c>
      <c r="L70" s="31" t="s">
        <v>73</v>
      </c>
      <c r="M70" s="31">
        <v>2021</v>
      </c>
      <c r="N70" s="31">
        <v>0</v>
      </c>
      <c r="O70" s="31">
        <v>235.76</v>
      </c>
      <c r="P70" s="31"/>
    </row>
    <row r="71" spans="1:16" ht="11.25" customHeight="1" x14ac:dyDescent="0.25">
      <c r="A71" s="31">
        <v>70</v>
      </c>
      <c r="B71" s="31" t="s">
        <v>439</v>
      </c>
      <c r="C71" s="31" t="s">
        <v>40</v>
      </c>
      <c r="D71" s="31" t="s">
        <v>72</v>
      </c>
      <c r="E71" s="31" t="s">
        <v>41</v>
      </c>
      <c r="F71" s="31" t="s">
        <v>25</v>
      </c>
      <c r="G71" s="31" t="s">
        <v>25</v>
      </c>
      <c r="H71" s="31" t="s">
        <v>25</v>
      </c>
      <c r="I71" s="31" t="s">
        <v>38</v>
      </c>
      <c r="J71" s="31" t="s">
        <v>558</v>
      </c>
      <c r="K71" s="31" t="s">
        <v>557</v>
      </c>
      <c r="L71" s="31" t="s">
        <v>73</v>
      </c>
      <c r="M71" s="31">
        <v>2021</v>
      </c>
      <c r="N71" s="31">
        <v>0</v>
      </c>
      <c r="O71" s="31">
        <v>235.76</v>
      </c>
      <c r="P71" s="31"/>
    </row>
    <row r="72" spans="1:16" ht="11.25" customHeight="1" x14ac:dyDescent="0.25">
      <c r="A72" s="31">
        <v>71</v>
      </c>
      <c r="B72" s="31" t="s">
        <v>439</v>
      </c>
      <c r="C72" s="31" t="s">
        <v>33</v>
      </c>
      <c r="D72" s="31" t="s">
        <v>72</v>
      </c>
      <c r="E72" s="31" t="s">
        <v>25</v>
      </c>
      <c r="F72" s="31" t="s">
        <v>25</v>
      </c>
      <c r="G72" s="31" t="s">
        <v>25</v>
      </c>
      <c r="H72" s="31" t="s">
        <v>25</v>
      </c>
      <c r="I72" s="31" t="s">
        <v>37</v>
      </c>
      <c r="J72" s="31" t="s">
        <v>558</v>
      </c>
      <c r="K72" s="31" t="s">
        <v>557</v>
      </c>
      <c r="L72" s="31" t="s">
        <v>73</v>
      </c>
      <c r="M72" s="31">
        <v>2021</v>
      </c>
      <c r="N72" s="31">
        <v>0</v>
      </c>
      <c r="O72" s="31">
        <v>267.91000000000003</v>
      </c>
      <c r="P72" s="31"/>
    </row>
    <row r="73" spans="1:16" ht="11.25" customHeight="1" x14ac:dyDescent="0.25">
      <c r="A73" s="31">
        <v>72</v>
      </c>
      <c r="B73" s="31" t="s">
        <v>439</v>
      </c>
      <c r="C73" s="31" t="s">
        <v>22</v>
      </c>
      <c r="D73" s="31" t="s">
        <v>88</v>
      </c>
      <c r="E73" s="31" t="s">
        <v>24</v>
      </c>
      <c r="F73" s="31" t="s">
        <v>30</v>
      </c>
      <c r="G73" s="31" t="s">
        <v>25</v>
      </c>
      <c r="H73" s="31" t="s">
        <v>25</v>
      </c>
      <c r="I73" s="31" t="s">
        <v>25</v>
      </c>
      <c r="J73" s="31" t="s">
        <v>558</v>
      </c>
      <c r="K73" s="31" t="s">
        <v>557</v>
      </c>
      <c r="L73" s="31" t="s">
        <v>73</v>
      </c>
      <c r="M73" s="31">
        <v>2021</v>
      </c>
      <c r="N73" s="31">
        <v>0</v>
      </c>
      <c r="O73" s="31">
        <v>160.75</v>
      </c>
      <c r="P73" s="31"/>
    </row>
    <row r="74" spans="1:16" ht="11.25" customHeight="1" x14ac:dyDescent="0.25">
      <c r="A74" s="31">
        <v>73</v>
      </c>
      <c r="B74" s="31" t="s">
        <v>439</v>
      </c>
      <c r="C74" s="31" t="s">
        <v>40</v>
      </c>
      <c r="D74" s="31" t="s">
        <v>72</v>
      </c>
      <c r="E74" s="31" t="s">
        <v>41</v>
      </c>
      <c r="F74" s="31" t="s">
        <v>91</v>
      </c>
      <c r="G74" s="31" t="s">
        <v>25</v>
      </c>
      <c r="H74" s="31" t="s">
        <v>25</v>
      </c>
      <c r="I74" s="31" t="s">
        <v>38</v>
      </c>
      <c r="J74" s="31" t="s">
        <v>558</v>
      </c>
      <c r="K74" s="31" t="s">
        <v>557</v>
      </c>
      <c r="L74" s="31" t="s">
        <v>73</v>
      </c>
      <c r="M74" s="31">
        <v>2021</v>
      </c>
      <c r="N74" s="31">
        <v>0</v>
      </c>
      <c r="O74" s="31">
        <v>225.05</v>
      </c>
      <c r="P74" s="31"/>
    </row>
    <row r="75" spans="1:16" ht="11.25" customHeight="1" x14ac:dyDescent="0.25">
      <c r="A75" s="31">
        <v>74</v>
      </c>
      <c r="B75" s="31" t="s">
        <v>439</v>
      </c>
      <c r="C75" s="31" t="s">
        <v>40</v>
      </c>
      <c r="D75" s="31" t="s">
        <v>72</v>
      </c>
      <c r="E75" s="31" t="s">
        <v>41</v>
      </c>
      <c r="F75" s="31" t="s">
        <v>25</v>
      </c>
      <c r="G75" s="31" t="s">
        <v>25</v>
      </c>
      <c r="H75" s="31" t="s">
        <v>25</v>
      </c>
      <c r="I75" s="31" t="s">
        <v>37</v>
      </c>
      <c r="J75" s="31" t="s">
        <v>558</v>
      </c>
      <c r="K75" s="31" t="s">
        <v>557</v>
      </c>
      <c r="L75" s="31" t="s">
        <v>73</v>
      </c>
      <c r="M75" s="31">
        <v>2021</v>
      </c>
      <c r="N75" s="31">
        <v>0</v>
      </c>
      <c r="O75" s="31">
        <v>235.76</v>
      </c>
      <c r="P75" s="31"/>
    </row>
    <row r="76" spans="1:16" ht="11.25" customHeight="1" x14ac:dyDescent="0.25">
      <c r="A76" s="31">
        <v>75</v>
      </c>
      <c r="B76" s="31" t="s">
        <v>439</v>
      </c>
      <c r="C76" s="31" t="s">
        <v>40</v>
      </c>
      <c r="D76" s="31" t="s">
        <v>88</v>
      </c>
      <c r="E76" s="31" t="s">
        <v>41</v>
      </c>
      <c r="F76" s="31" t="s">
        <v>90</v>
      </c>
      <c r="G76" s="31" t="s">
        <v>25</v>
      </c>
      <c r="H76" s="31" t="s">
        <v>25</v>
      </c>
      <c r="I76" s="31" t="s">
        <v>25</v>
      </c>
      <c r="J76" s="31" t="s">
        <v>558</v>
      </c>
      <c r="K76" s="31" t="s">
        <v>557</v>
      </c>
      <c r="L76" s="31" t="s">
        <v>73</v>
      </c>
      <c r="M76" s="31">
        <v>2021</v>
      </c>
      <c r="N76" s="31">
        <v>0</v>
      </c>
      <c r="O76" s="31">
        <v>235.76</v>
      </c>
      <c r="P76" s="31"/>
    </row>
    <row r="77" spans="1:16" ht="11.25" customHeight="1" x14ac:dyDescent="0.25">
      <c r="A77" s="31">
        <v>76</v>
      </c>
      <c r="B77" s="31" t="s">
        <v>411</v>
      </c>
      <c r="C77" s="31" t="s">
        <v>40</v>
      </c>
      <c r="D77" s="31" t="s">
        <v>23</v>
      </c>
      <c r="E77" s="31" t="s">
        <v>41</v>
      </c>
      <c r="F77" s="31" t="s">
        <v>91</v>
      </c>
      <c r="G77" s="31" t="s">
        <v>25</v>
      </c>
      <c r="H77" s="31" t="s">
        <v>25</v>
      </c>
      <c r="I77" s="31" t="s">
        <v>25</v>
      </c>
      <c r="J77" s="31" t="s">
        <v>558</v>
      </c>
      <c r="K77" s="31" t="s">
        <v>557</v>
      </c>
      <c r="L77" s="31" t="s">
        <v>73</v>
      </c>
      <c r="M77" s="31">
        <v>2021</v>
      </c>
      <c r="N77" s="31">
        <v>0</v>
      </c>
      <c r="O77" s="31">
        <v>308.91000000000003</v>
      </c>
      <c r="P77" s="31">
        <v>40.3906509857011</v>
      </c>
    </row>
    <row r="78" spans="1:16" ht="11.25" customHeight="1" x14ac:dyDescent="0.25">
      <c r="A78" s="31">
        <v>77</v>
      </c>
      <c r="B78" s="31" t="s">
        <v>439</v>
      </c>
      <c r="C78" s="31" t="s">
        <v>40</v>
      </c>
      <c r="D78" s="31" t="s">
        <v>72</v>
      </c>
      <c r="E78" s="31" t="s">
        <v>41</v>
      </c>
      <c r="F78" s="31" t="s">
        <v>91</v>
      </c>
      <c r="G78" s="31" t="s">
        <v>25</v>
      </c>
      <c r="H78" s="31" t="s">
        <v>25</v>
      </c>
      <c r="I78" s="31" t="s">
        <v>559</v>
      </c>
      <c r="J78" s="31" t="s">
        <v>558</v>
      </c>
      <c r="K78" s="31" t="s">
        <v>557</v>
      </c>
      <c r="L78" s="31" t="s">
        <v>73</v>
      </c>
      <c r="M78" s="31">
        <v>2021</v>
      </c>
      <c r="N78" s="31">
        <v>0</v>
      </c>
      <c r="O78" s="31">
        <v>225.05</v>
      </c>
      <c r="P78" s="31"/>
    </row>
    <row r="79" spans="1:16" ht="11.25" customHeight="1" x14ac:dyDescent="0.25">
      <c r="A79" s="31">
        <v>78</v>
      </c>
      <c r="B79" s="31" t="s">
        <v>439</v>
      </c>
      <c r="C79" s="31" t="s">
        <v>22</v>
      </c>
      <c r="D79" s="31" t="s">
        <v>88</v>
      </c>
      <c r="E79" s="31" t="s">
        <v>24</v>
      </c>
      <c r="F79" s="31" t="s">
        <v>29</v>
      </c>
      <c r="G79" s="31" t="s">
        <v>25</v>
      </c>
      <c r="H79" s="31" t="s">
        <v>25</v>
      </c>
      <c r="I79" s="31" t="s">
        <v>25</v>
      </c>
      <c r="J79" s="31" t="s">
        <v>558</v>
      </c>
      <c r="K79" s="31" t="s">
        <v>557</v>
      </c>
      <c r="L79" s="31" t="s">
        <v>73</v>
      </c>
      <c r="M79" s="31">
        <v>2021</v>
      </c>
      <c r="N79" s="31">
        <v>0</v>
      </c>
      <c r="O79" s="31">
        <v>93.77</v>
      </c>
      <c r="P79" s="31"/>
    </row>
    <row r="80" spans="1:16" ht="11.25" customHeight="1" x14ac:dyDescent="0.25">
      <c r="A80" s="31">
        <v>79</v>
      </c>
      <c r="B80" s="31" t="s">
        <v>439</v>
      </c>
      <c r="C80" s="31" t="s">
        <v>40</v>
      </c>
      <c r="D80" s="31" t="s">
        <v>72</v>
      </c>
      <c r="E80" s="31" t="s">
        <v>41</v>
      </c>
      <c r="F80" s="31" t="s">
        <v>25</v>
      </c>
      <c r="G80" s="31" t="s">
        <v>25</v>
      </c>
      <c r="H80" s="31" t="s">
        <v>25</v>
      </c>
      <c r="I80" s="31" t="s">
        <v>559</v>
      </c>
      <c r="J80" s="31" t="s">
        <v>558</v>
      </c>
      <c r="K80" s="31" t="s">
        <v>557</v>
      </c>
      <c r="L80" s="31" t="s">
        <v>73</v>
      </c>
      <c r="M80" s="31">
        <v>2021</v>
      </c>
      <c r="N80" s="31">
        <v>0</v>
      </c>
      <c r="O80" s="31">
        <v>235.76</v>
      </c>
      <c r="P80" s="31"/>
    </row>
    <row r="81" spans="1:16" ht="11.25" customHeight="1" x14ac:dyDescent="0.25">
      <c r="A81" s="31">
        <v>80</v>
      </c>
      <c r="B81" s="31" t="s">
        <v>439</v>
      </c>
      <c r="C81" s="31" t="s">
        <v>40</v>
      </c>
      <c r="D81" s="31" t="s">
        <v>88</v>
      </c>
      <c r="E81" s="31" t="s">
        <v>41</v>
      </c>
      <c r="F81" s="31" t="s">
        <v>91</v>
      </c>
      <c r="G81" s="31" t="s">
        <v>25</v>
      </c>
      <c r="H81" s="31" t="s">
        <v>25</v>
      </c>
      <c r="I81" s="31" t="s">
        <v>25</v>
      </c>
      <c r="J81" s="31" t="s">
        <v>558</v>
      </c>
      <c r="K81" s="31" t="s">
        <v>557</v>
      </c>
      <c r="L81" s="31" t="s">
        <v>73</v>
      </c>
      <c r="M81" s="31">
        <v>2021</v>
      </c>
      <c r="N81" s="31">
        <v>0</v>
      </c>
      <c r="O81" s="31">
        <v>225.05</v>
      </c>
      <c r="P81" s="31"/>
    </row>
    <row r="82" spans="1:16" ht="11.25" customHeight="1" x14ac:dyDescent="0.25">
      <c r="A82" s="31">
        <v>81</v>
      </c>
      <c r="B82" s="31" t="s">
        <v>439</v>
      </c>
      <c r="C82" s="31" t="s">
        <v>33</v>
      </c>
      <c r="D82" s="31" t="s">
        <v>86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25</v>
      </c>
      <c r="J82" s="31" t="s">
        <v>558</v>
      </c>
      <c r="K82" s="31" t="s">
        <v>557</v>
      </c>
      <c r="L82" s="31" t="s">
        <v>73</v>
      </c>
      <c r="M82" s="31">
        <v>2021</v>
      </c>
      <c r="N82" s="31">
        <v>0</v>
      </c>
      <c r="O82" s="31">
        <v>267.91000000000003</v>
      </c>
      <c r="P82" s="31"/>
    </row>
    <row r="83" spans="1:16" ht="11.25" customHeight="1" x14ac:dyDescent="0.25">
      <c r="A83" s="31">
        <v>82</v>
      </c>
      <c r="B83" s="31" t="s">
        <v>439</v>
      </c>
      <c r="C83" s="31" t="s">
        <v>33</v>
      </c>
      <c r="D83" s="31" t="s">
        <v>88</v>
      </c>
      <c r="E83" s="31" t="s">
        <v>25</v>
      </c>
      <c r="F83" s="31" t="s">
        <v>25</v>
      </c>
      <c r="G83" s="31" t="s">
        <v>25</v>
      </c>
      <c r="H83" s="31" t="s">
        <v>25</v>
      </c>
      <c r="I83" s="31" t="s">
        <v>25</v>
      </c>
      <c r="J83" s="31" t="s">
        <v>558</v>
      </c>
      <c r="K83" s="31" t="s">
        <v>557</v>
      </c>
      <c r="L83" s="31" t="s">
        <v>73</v>
      </c>
      <c r="M83" s="31">
        <v>2021</v>
      </c>
      <c r="N83" s="31">
        <v>0</v>
      </c>
      <c r="O83" s="31">
        <v>267.91000000000003</v>
      </c>
      <c r="P83" s="31"/>
    </row>
    <row r="84" spans="1:16" ht="11.25" customHeight="1" x14ac:dyDescent="0.25">
      <c r="A84" s="31">
        <v>83</v>
      </c>
      <c r="B84" s="31" t="s">
        <v>439</v>
      </c>
      <c r="C84" s="31" t="s">
        <v>43</v>
      </c>
      <c r="D84" s="31" t="s">
        <v>86</v>
      </c>
      <c r="E84" s="31" t="s">
        <v>44</v>
      </c>
      <c r="F84" s="31" t="s">
        <v>45</v>
      </c>
      <c r="G84" s="31" t="s">
        <v>25</v>
      </c>
      <c r="H84" s="31" t="s">
        <v>25</v>
      </c>
      <c r="I84" s="31" t="s">
        <v>25</v>
      </c>
      <c r="J84" s="31" t="s">
        <v>558</v>
      </c>
      <c r="K84" s="31" t="s">
        <v>557</v>
      </c>
      <c r="L84" s="31" t="s">
        <v>73</v>
      </c>
      <c r="M84" s="31">
        <v>2021</v>
      </c>
      <c r="N84" s="31">
        <v>0</v>
      </c>
      <c r="O84" s="31">
        <v>147.35</v>
      </c>
      <c r="P84" s="31"/>
    </row>
    <row r="85" spans="1:16" ht="11.25" customHeight="1" x14ac:dyDescent="0.25">
      <c r="A85" s="31">
        <v>84</v>
      </c>
      <c r="B85" s="31" t="s">
        <v>439</v>
      </c>
      <c r="C85" s="31" t="s">
        <v>43</v>
      </c>
      <c r="D85" s="31" t="s">
        <v>86</v>
      </c>
      <c r="E85" s="31" t="s">
        <v>44</v>
      </c>
      <c r="F85" s="31" t="s">
        <v>46</v>
      </c>
      <c r="G85" s="31" t="s">
        <v>25</v>
      </c>
      <c r="H85" s="31" t="s">
        <v>25</v>
      </c>
      <c r="I85" s="31" t="s">
        <v>25</v>
      </c>
      <c r="J85" s="31" t="s">
        <v>558</v>
      </c>
      <c r="K85" s="31" t="s">
        <v>557</v>
      </c>
      <c r="L85" s="31" t="s">
        <v>73</v>
      </c>
      <c r="M85" s="31">
        <v>2021</v>
      </c>
      <c r="N85" s="31">
        <v>0</v>
      </c>
      <c r="O85" s="31">
        <v>160.75</v>
      </c>
      <c r="P85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6DF6-D1AF-4B8D-B833-2CA456C1D7E7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7.85546875" style="9" bestFit="1" customWidth="1"/>
    <col min="11" max="16" width="7" style="9" bestFit="1" customWidth="1"/>
    <col min="17" max="17" width="7.85546875" style="9" bestFit="1" customWidth="1"/>
    <col min="18" max="19" width="7" style="9" bestFit="1" customWidth="1"/>
    <col min="20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6" t="s">
        <v>35</v>
      </c>
      <c r="B2" s="86" t="s">
        <v>54</v>
      </c>
      <c r="C2" s="86" t="s">
        <v>25</v>
      </c>
      <c r="D2" s="86" t="s">
        <v>25</v>
      </c>
      <c r="E2" s="86" t="s">
        <v>25</v>
      </c>
      <c r="F2" s="86" t="s">
        <v>25</v>
      </c>
      <c r="G2" s="13" t="s">
        <v>77</v>
      </c>
      <c r="H2" s="13" t="s">
        <v>76</v>
      </c>
      <c r="I2" s="13">
        <f>SUMIF(Mercado_Receita!$S$2:$S$508,"44440A4AzulNão se aplicaNão se aplicaNão se aplicaNão se aplicaPonta",Mercado_Receita!$J$2:$J$508)+SUMIF(Mercado_Receita!$S$2:$S$508,"44440A4AzulNão se aplicaNão se aplicaAPENão se aplicaPonta",Mercado_Receita!$J$2:$J$508)</f>
        <v>87</v>
      </c>
      <c r="J2" s="13">
        <f>SUMIF(Mercado_Receita!$S$2:$S$508,"44470A4AzulNão se aplicaNão se aplicaNão se aplicaNão se aplicaPonta",Mercado_Receita!$J$2:$J$508)+SUMIF(Mercado_Receita!$S$2:$S$508,"44470A4AzulNão se aplicaNão se aplicaAPENão se aplicaPonta",Mercado_Receita!$J$2:$J$508)</f>
        <v>87</v>
      </c>
      <c r="K2" s="13">
        <f>SUMIF(Mercado_Receita!$S$2:$S$508,"44501A4AzulNão se aplicaNão se aplicaNão se aplicaNão se aplicaPonta",Mercado_Receita!$J$2:$J$508)+SUMIF(Mercado_Receita!$S$2:$S$508,"44501A4AzulNão se aplicaNão se aplicaAPENão se aplicaPonta",Mercado_Receita!$J$2:$J$508)</f>
        <v>87</v>
      </c>
      <c r="L2" s="13">
        <f>SUMIF(Mercado_Receita!$S$2:$S$508,"44531A4AzulNão se aplicaNão se aplicaNão se aplicaNão se aplicaPonta",Mercado_Receita!$J$2:$J$508)+SUMIF(Mercado_Receita!$S$2:$S$508,"44531A4AzulNão se aplicaNão se aplicaAPENão se aplicaPonta",Mercado_Receita!$J$2:$J$508)</f>
        <v>87</v>
      </c>
      <c r="M2" s="13">
        <f>SUMIF(Mercado_Receita!$S$2:$S$508,"44562A4AzulNão se aplicaNão se aplicaNão se aplicaNão se aplicaPonta",Mercado_Receita!$J$2:$J$508)+SUMIF(Mercado_Receita!$S$2:$S$508,"44562A4AzulNão se aplicaNão se aplicaAPENão se aplicaPonta",Mercado_Receita!$J$2:$J$508)</f>
        <v>87</v>
      </c>
      <c r="N2" s="13">
        <f>SUMIF(Mercado_Receita!$S$2:$S$508,"44593A4AzulNão se aplicaNão se aplicaNão se aplicaNão se aplicaPonta",Mercado_Receita!$J$2:$J$508)+SUMIF(Mercado_Receita!$S$2:$S$508,"44593A4AzulNão se aplicaNão se aplicaAPENão se aplicaPonta",Mercado_Receita!$J$2:$J$508)</f>
        <v>87</v>
      </c>
      <c r="O2" s="13">
        <f>SUMIF(Mercado_Receita!$S$2:$S$508,"44621A4AzulNão se aplicaNão se aplicaNão se aplicaNão se aplicaPonta",Mercado_Receita!$J$2:$J$508)+SUMIF(Mercado_Receita!$S$2:$S$508,"44621A4AzulNão se aplicaNão se aplicaAPENão se aplicaPonta",Mercado_Receita!$J$2:$J$508)</f>
        <v>87</v>
      </c>
      <c r="P2" s="13">
        <f>SUMIF(Mercado_Receita!$S$2:$S$508,"44652A4AzulNão se aplicaNão se aplicaNão se aplicaNão se aplicaPonta",Mercado_Receita!$J$2:$J$508)+SUMIF(Mercado_Receita!$S$2:$S$508,"44652A4AzulNão se aplicaNão se aplicaAPENão se aplicaPonta",Mercado_Receita!$J$2:$J$508)</f>
        <v>87</v>
      </c>
      <c r="Q2" s="13">
        <f>SUMIF(Mercado_Receita!$S$2:$S$508,"44682A4AzulNão se aplicaNão se aplicaNão se aplicaNão se aplicaPonta",Mercado_Receita!$J$2:$J$508)+SUMIF(Mercado_Receita!$S$2:$S$508,"44682A4AzulNão se aplicaNão se aplicaAPENão se aplicaPonta",Mercado_Receita!$J$2:$J$508)</f>
        <v>87</v>
      </c>
      <c r="R2" s="13">
        <f>SUMIF(Mercado_Receita!$S$2:$S$508,"44713A4AzulNão se aplicaNão se aplicaNão se aplicaNão se aplicaPonta",Mercado_Receita!$J$2:$J$508)+SUMIF(Mercado_Receita!$S$2:$S$508,"44713A4AzulNão se aplicaNão se aplicaAPENão se aplicaPonta",Mercado_Receita!$J$2:$J$508)</f>
        <v>87</v>
      </c>
      <c r="S2" s="13">
        <f>SUMIF(Mercado_Receita!$S$2:$S$508,"44743A4AzulNão se aplicaNão se aplicaNão se aplicaNão se aplicaPonta",Mercado_Receita!$J$2:$J$508)+SUMIF(Mercado_Receita!$S$2:$S$508,"44743A4AzulNão se aplicaNão se aplicaAPENão se aplicaPonta",Mercado_Receita!$J$2:$J$508)</f>
        <v>87</v>
      </c>
      <c r="T2" s="13">
        <f>SUMIF(Mercado_Receita!$S$2:$S$508,"44774A4AzulNão se aplicaNão se aplicaNão se aplicaNão se aplicaPonta",Mercado_Receita!$J$2:$J$508)+SUMIF(Mercado_Receita!$S$2:$S$508,"44774A4AzulNão se aplicaNão se aplicaAPENão se aplicaPonta",Mercado_Receita!$J$2:$J$508)</f>
        <v>87</v>
      </c>
      <c r="U2" s="13">
        <f t="shared" ref="U2:U48" si="0">SUM(I2:T2)</f>
        <v>1044</v>
      </c>
      <c r="V2" s="13"/>
      <c r="W2" s="13"/>
    </row>
    <row r="3" spans="1:30" ht="11.25" customHeight="1" x14ac:dyDescent="0.25">
      <c r="A3" s="87"/>
      <c r="B3" s="87"/>
      <c r="C3" s="87"/>
      <c r="D3" s="87"/>
      <c r="E3" s="87"/>
      <c r="F3" s="87"/>
      <c r="G3" s="13" t="s">
        <v>78</v>
      </c>
      <c r="H3" s="13" t="s">
        <v>76</v>
      </c>
      <c r="I3" s="13">
        <f>SUMIF(Mercado_Receita!$S$2:$S$508,"44440A4AzulNão se aplicaNão se aplicaNão se aplicaNão se aplicaFora ponta",Mercado_Receita!$J$2:$J$508)+SUMIF(Mercado_Receita!$S$2:$S$508,"44440A4AzulNão se aplicaNão se aplicaAPENão se aplicaFora ponta",Mercado_Receita!$J$2:$J$508)</f>
        <v>87</v>
      </c>
      <c r="J3" s="13">
        <f>SUMIF(Mercado_Receita!$S$2:$S$508,"44470A4AzulNão se aplicaNão se aplicaNão se aplicaNão se aplicaFora ponta",Mercado_Receita!$J$2:$J$508)+SUMIF(Mercado_Receita!$S$2:$S$508,"44470A4AzulNão se aplicaNão se aplicaAPENão se aplicaFora ponta",Mercado_Receita!$J$2:$J$508)</f>
        <v>87</v>
      </c>
      <c r="K3" s="13">
        <f>SUMIF(Mercado_Receita!$S$2:$S$508,"44501A4AzulNão se aplicaNão se aplicaNão se aplicaNão se aplicaFora ponta",Mercado_Receita!$J$2:$J$508)+SUMIF(Mercado_Receita!$S$2:$S$508,"44501A4AzulNão se aplicaNão se aplicaAPENão se aplicaFora ponta",Mercado_Receita!$J$2:$J$508)</f>
        <v>89</v>
      </c>
      <c r="L3" s="13">
        <f>SUMIF(Mercado_Receita!$S$2:$S$508,"44531A4AzulNão se aplicaNão se aplicaNão se aplicaNão se aplicaFora ponta",Mercado_Receita!$J$2:$J$508)+SUMIF(Mercado_Receita!$S$2:$S$508,"44531A4AzulNão se aplicaNão se aplicaAPENão se aplicaFora ponta",Mercado_Receita!$J$2:$J$508)</f>
        <v>89</v>
      </c>
      <c r="M3" s="13">
        <f>SUMIF(Mercado_Receita!$S$2:$S$508,"44562A4AzulNão se aplicaNão se aplicaNão se aplicaNão se aplicaFora ponta",Mercado_Receita!$J$2:$J$508)+SUMIF(Mercado_Receita!$S$2:$S$508,"44562A4AzulNão se aplicaNão se aplicaAPENão se aplicaFora ponta",Mercado_Receita!$J$2:$J$508)</f>
        <v>87</v>
      </c>
      <c r="N3" s="13">
        <f>SUMIF(Mercado_Receita!$S$2:$S$508,"44593A4AzulNão se aplicaNão se aplicaNão se aplicaNão se aplicaFora ponta",Mercado_Receita!$J$2:$J$508)+SUMIF(Mercado_Receita!$S$2:$S$508,"44593A4AzulNão se aplicaNão se aplicaAPENão se aplicaFora ponta",Mercado_Receita!$J$2:$J$508)</f>
        <v>91</v>
      </c>
      <c r="O3" s="13">
        <f>SUMIF(Mercado_Receita!$S$2:$S$508,"44621A4AzulNão se aplicaNão se aplicaNão se aplicaNão se aplicaFora ponta",Mercado_Receita!$J$2:$J$508)+SUMIF(Mercado_Receita!$S$2:$S$508,"44621A4AzulNão se aplicaNão se aplicaAPENão se aplicaFora ponta",Mercado_Receita!$J$2:$J$508)</f>
        <v>91</v>
      </c>
      <c r="P3" s="13">
        <f>SUMIF(Mercado_Receita!$S$2:$S$508,"44652A4AzulNão se aplicaNão se aplicaNão se aplicaNão se aplicaFora ponta",Mercado_Receita!$J$2:$J$508)+SUMIF(Mercado_Receita!$S$2:$S$508,"44652A4AzulNão se aplicaNão se aplicaAPENão se aplicaFora ponta",Mercado_Receita!$J$2:$J$508)</f>
        <v>92</v>
      </c>
      <c r="Q3" s="13">
        <f>SUMIF(Mercado_Receita!$S$2:$S$508,"44682A4AzulNão se aplicaNão se aplicaNão se aplicaNão se aplicaFora ponta",Mercado_Receita!$J$2:$J$508)+SUMIF(Mercado_Receita!$S$2:$S$508,"44682A4AzulNão se aplicaNão se aplicaAPENão se aplicaFora ponta",Mercado_Receita!$J$2:$J$508)</f>
        <v>87</v>
      </c>
      <c r="R3" s="13">
        <f>SUMIF(Mercado_Receita!$S$2:$S$508,"44713A4AzulNão se aplicaNão se aplicaNão se aplicaNão se aplicaFora ponta",Mercado_Receita!$J$2:$J$508)+SUMIF(Mercado_Receita!$S$2:$S$508,"44713A4AzulNão se aplicaNão se aplicaAPENão se aplicaFora ponta",Mercado_Receita!$J$2:$J$508)</f>
        <v>94</v>
      </c>
      <c r="S3" s="13">
        <f>SUMIF(Mercado_Receita!$S$2:$S$508,"44743A4AzulNão se aplicaNão se aplicaNão se aplicaNão se aplicaFora ponta",Mercado_Receita!$J$2:$J$508)+SUMIF(Mercado_Receita!$S$2:$S$508,"44743A4AzulNão se aplicaNão se aplicaAPENão se aplicaFora ponta",Mercado_Receita!$J$2:$J$508)</f>
        <v>99</v>
      </c>
      <c r="T3" s="13">
        <f>SUMIF(Mercado_Receita!$S$2:$S$508,"44774A4AzulNão se aplicaNão se aplicaNão se aplicaNão se aplicaFora ponta",Mercado_Receita!$J$2:$J$508)+SUMIF(Mercado_Receita!$S$2:$S$508,"44774A4AzulNão se aplicaNão se aplicaAPENão se aplicaFora ponta",Mercado_Receita!$J$2:$J$508)</f>
        <v>87</v>
      </c>
      <c r="U3" s="13">
        <f t="shared" si="0"/>
        <v>1080</v>
      </c>
      <c r="V3" s="13"/>
      <c r="W3" s="13"/>
    </row>
    <row r="4" spans="1:30" ht="11.25" customHeight="1" x14ac:dyDescent="0.25">
      <c r="A4" s="87"/>
      <c r="B4" s="87"/>
      <c r="C4" s="87"/>
      <c r="D4" s="87"/>
      <c r="E4" s="87"/>
      <c r="F4" s="87"/>
      <c r="G4" s="13" t="s">
        <v>79</v>
      </c>
      <c r="H4" s="13" t="s">
        <v>73</v>
      </c>
      <c r="I4" s="13">
        <f>SUMIF(Mercado_Receita!$S$2:$S$508,"44440A4AzulNão se aplicaNão se aplicaNão se aplicaNão se aplicaPonta",Mercado_Receita!$L$2:$L$508)+SUMIF(Mercado_Receita!$S$2:$S$508,"44440A4AzulNão se aplicaNão se aplicaNão se aplicaNão se aplicaFora ponta",Mercado_Receita!$L$2:$L$508)+SUMIF(Mercado_Receita!$S$2:$S$508,"44440A4AzulNão se aplicaNão se aplicaNão se aplicaNão se aplicaIntermediário",Mercado_Receita!$L$2:$L$508)+SUMIF(Mercado_Receita!$S$2:$S$508,"44440A4AzulNão se aplicaNão se aplicaNão se aplicaNão se aplicaNão se aplica",Mercado_Receita!$L$2:$L$508)</f>
        <v>45.453000000000003</v>
      </c>
      <c r="J4" s="13">
        <f>SUMIF(Mercado_Receita!$S$2:$S$508,"44470A4AzulNão se aplicaNão se aplicaNão se aplicaNão se aplicaPonta",Mercado_Receita!$L$2:$L$508)+SUMIF(Mercado_Receita!$S$2:$S$508,"44470A4AzulNão se aplicaNão se aplicaNão se aplicaNão se aplicaFora ponta",Mercado_Receita!$L$2:$L$508)+SUMIF(Mercado_Receita!$S$2:$S$508,"44470A4AzulNão se aplicaNão se aplicaNão se aplicaNão se aplicaIntermediário",Mercado_Receita!$L$2:$L$508)+SUMIF(Mercado_Receita!$S$2:$S$508,"44470A4AzulNão se aplicaNão se aplicaNão se aplicaNão se aplicaNão se aplica",Mercado_Receita!$L$2:$L$508)</f>
        <v>46.8</v>
      </c>
      <c r="K4" s="13">
        <f>SUMIF(Mercado_Receita!$S$2:$S$508,"44501A4AzulNão se aplicaNão se aplicaNão se aplicaNão se aplicaPonta",Mercado_Receita!$L$2:$L$508)+SUMIF(Mercado_Receita!$S$2:$S$508,"44501A4AzulNão se aplicaNão se aplicaNão se aplicaNão se aplicaFora ponta",Mercado_Receita!$L$2:$L$508)+SUMIF(Mercado_Receita!$S$2:$S$508,"44501A4AzulNão se aplicaNão se aplicaNão se aplicaNão se aplicaIntermediário",Mercado_Receita!$L$2:$L$508)+SUMIF(Mercado_Receita!$S$2:$S$508,"44501A4AzulNão se aplicaNão se aplicaNão se aplicaNão se aplicaNão se aplica",Mercado_Receita!$L$2:$L$508)</f>
        <v>47.036000000000001</v>
      </c>
      <c r="L4" s="13">
        <f>SUMIF(Mercado_Receita!$S$2:$S$508,"44531A4AzulNão se aplicaNão se aplicaNão se aplicaNão se aplicaPonta",Mercado_Receita!$L$2:$L$508)+SUMIF(Mercado_Receita!$S$2:$S$508,"44531A4AzulNão se aplicaNão se aplicaNão se aplicaNão se aplicaFora ponta",Mercado_Receita!$L$2:$L$508)+SUMIF(Mercado_Receita!$S$2:$S$508,"44531A4AzulNão se aplicaNão se aplicaNão se aplicaNão se aplicaIntermediário",Mercado_Receita!$L$2:$L$508)+SUMIF(Mercado_Receita!$S$2:$S$508,"44531A4AzulNão se aplicaNão se aplicaNão se aplicaNão se aplicaNão se aplica",Mercado_Receita!$L$2:$L$508)</f>
        <v>48.454999999999998</v>
      </c>
      <c r="M4" s="13">
        <f>SUMIF(Mercado_Receita!$S$2:$S$508,"44562A4AzulNão se aplicaNão se aplicaNão se aplicaNão se aplicaPonta",Mercado_Receita!$L$2:$L$508)+SUMIF(Mercado_Receita!$S$2:$S$508,"44562A4AzulNão se aplicaNão se aplicaNão se aplicaNão se aplicaFora ponta",Mercado_Receita!$L$2:$L$508)+SUMIF(Mercado_Receita!$S$2:$S$508,"44562A4AzulNão se aplicaNão se aplicaNão se aplicaNão se aplicaIntermediário",Mercado_Receita!$L$2:$L$508)+SUMIF(Mercado_Receita!$S$2:$S$508,"44562A4AzulNão se aplicaNão se aplicaNão se aplicaNão se aplicaNão se aplica",Mercado_Receita!$L$2:$L$508)</f>
        <v>46.819000000000003</v>
      </c>
      <c r="N4" s="13">
        <f>SUMIF(Mercado_Receita!$S$2:$S$508,"44593A4AzulNão se aplicaNão se aplicaNão se aplicaNão se aplicaPonta",Mercado_Receita!$L$2:$L$508)+SUMIF(Mercado_Receita!$S$2:$S$508,"44593A4AzulNão se aplicaNão se aplicaNão se aplicaNão se aplicaFora ponta",Mercado_Receita!$L$2:$L$508)+SUMIF(Mercado_Receita!$S$2:$S$508,"44593A4AzulNão se aplicaNão se aplicaNão se aplicaNão se aplicaIntermediário",Mercado_Receita!$L$2:$L$508)+SUMIF(Mercado_Receita!$S$2:$S$508,"44593A4AzulNão se aplicaNão se aplicaNão se aplicaNão se aplicaNão se aplica",Mercado_Receita!$L$2:$L$508)</f>
        <v>42.377000000000002</v>
      </c>
      <c r="O4" s="13">
        <f>SUMIF(Mercado_Receita!$S$2:$S$508,"44621A4AzulNão se aplicaNão se aplicaNão se aplicaNão se aplicaPonta",Mercado_Receita!$L$2:$L$508)+SUMIF(Mercado_Receita!$S$2:$S$508,"44621A4AzulNão se aplicaNão se aplicaNão se aplicaNão se aplicaFora ponta",Mercado_Receita!$L$2:$L$508)+SUMIF(Mercado_Receita!$S$2:$S$508,"44621A4AzulNão se aplicaNão se aplicaNão se aplicaNão se aplicaIntermediário",Mercado_Receita!$L$2:$L$508)+SUMIF(Mercado_Receita!$S$2:$S$508,"44621A4AzulNão se aplicaNão se aplicaNão se aplicaNão se aplicaNão se aplica",Mercado_Receita!$L$2:$L$508)</f>
        <v>49.387</v>
      </c>
      <c r="P4" s="13">
        <f>SUMIF(Mercado_Receita!$S$2:$S$508,"44652A4AzulNão se aplicaNão se aplicaNão se aplicaNão se aplicaPonta",Mercado_Receita!$L$2:$L$508)+SUMIF(Mercado_Receita!$S$2:$S$508,"44652A4AzulNão se aplicaNão se aplicaNão se aplicaNão se aplicaFora ponta",Mercado_Receita!$L$2:$L$508)+SUMIF(Mercado_Receita!$S$2:$S$508,"44652A4AzulNão se aplicaNão se aplicaNão se aplicaNão se aplicaIntermediário",Mercado_Receita!$L$2:$L$508)+SUMIF(Mercado_Receita!$S$2:$S$508,"44652A4AzulNão se aplicaNão se aplicaNão se aplicaNão se aplicaNão se aplica",Mercado_Receita!$L$2:$L$508)</f>
        <v>47.712000000000003</v>
      </c>
      <c r="Q4" s="13">
        <f>SUMIF(Mercado_Receita!$S$2:$S$508,"44682A4AzulNão se aplicaNão se aplicaNão se aplicaNão se aplicaPonta",Mercado_Receita!$L$2:$L$508)+SUMIF(Mercado_Receita!$S$2:$S$508,"44682A4AzulNão se aplicaNão se aplicaNão se aplicaNão se aplicaFora ponta",Mercado_Receita!$L$2:$L$508)+SUMIF(Mercado_Receita!$S$2:$S$508,"44682A4AzulNão se aplicaNão se aplicaNão se aplicaNão se aplicaIntermediário",Mercado_Receita!$L$2:$L$508)+SUMIF(Mercado_Receita!$S$2:$S$508,"44682A4AzulNão se aplicaNão se aplicaNão se aplicaNão se aplicaNão se aplica",Mercado_Receita!$L$2:$L$508)</f>
        <v>47.343000000000004</v>
      </c>
      <c r="R4" s="13">
        <f>SUMIF(Mercado_Receita!$S$2:$S$508,"44713A4AzulNão se aplicaNão se aplicaNão se aplicaNão se aplicaPonta",Mercado_Receita!$L$2:$L$508)+SUMIF(Mercado_Receita!$S$2:$S$508,"44713A4AzulNão se aplicaNão se aplicaNão se aplicaNão se aplicaFora ponta",Mercado_Receita!$L$2:$L$508)+SUMIF(Mercado_Receita!$S$2:$S$508,"44713A4AzulNão se aplicaNão se aplicaNão se aplicaNão se aplicaIntermediário",Mercado_Receita!$L$2:$L$508)+SUMIF(Mercado_Receita!$S$2:$S$508,"44713A4AzulNão se aplicaNão se aplicaNão se aplicaNão se aplicaNão se aplica",Mercado_Receita!$L$2:$L$508)</f>
        <v>45.942999999999998</v>
      </c>
      <c r="S4" s="13">
        <f>SUMIF(Mercado_Receita!$S$2:$S$508,"44743A4AzulNão se aplicaNão se aplicaNão se aplicaNão se aplicaPonta",Mercado_Receita!$L$2:$L$508)+SUMIF(Mercado_Receita!$S$2:$S$508,"44743A4AzulNão se aplicaNão se aplicaNão se aplicaNão se aplicaFora ponta",Mercado_Receita!$L$2:$L$508)+SUMIF(Mercado_Receita!$S$2:$S$508,"44743A4AzulNão se aplicaNão se aplicaNão se aplicaNão se aplicaIntermediário",Mercado_Receita!$L$2:$L$508)+SUMIF(Mercado_Receita!$S$2:$S$508,"44743A4AzulNão se aplicaNão se aplicaNão se aplicaNão se aplicaNão se aplica",Mercado_Receita!$L$2:$L$508)</f>
        <v>47.923999999999999</v>
      </c>
      <c r="T4" s="13">
        <f>SUMIF(Mercado_Receita!$S$2:$S$508,"44774A4AzulNão se aplicaNão se aplicaNão se aplicaNão se aplicaPonta",Mercado_Receita!$L$2:$L$508)+SUMIF(Mercado_Receita!$S$2:$S$508,"44774A4AzulNão se aplicaNão se aplicaNão se aplicaNão se aplicaFora ponta",Mercado_Receita!$L$2:$L$508)+SUMIF(Mercado_Receita!$S$2:$S$508,"44774A4AzulNão se aplicaNão se aplicaNão se aplicaNão se aplicaIntermediário",Mercado_Receita!$L$2:$L$508)+SUMIF(Mercado_Receita!$S$2:$S$508,"44774A4AzulNão se aplicaNão se aplicaNão se aplicaNão se aplicaNão se aplica",Mercado_Receita!$L$2:$L$508)</f>
        <v>47.061</v>
      </c>
      <c r="U4" s="13">
        <f t="shared" si="0"/>
        <v>562.31000000000006</v>
      </c>
      <c r="V4" s="13"/>
      <c r="W4" s="13"/>
    </row>
    <row r="5" spans="1:30" ht="11.25" customHeight="1" x14ac:dyDescent="0.25">
      <c r="A5" s="87"/>
      <c r="B5" s="87"/>
      <c r="C5" s="87"/>
      <c r="D5" s="87"/>
      <c r="E5" s="12" t="s">
        <v>80</v>
      </c>
      <c r="F5" s="12" t="s">
        <v>25</v>
      </c>
      <c r="G5" s="13" t="s">
        <v>79</v>
      </c>
      <c r="H5" s="13" t="s">
        <v>73</v>
      </c>
      <c r="I5" s="13">
        <f>SUMIF(Mercado_Receita!$S$2:$S$508,"44440A4AzulNão se aplicaNão se aplicaAPENão se aplicaPonta",Mercado_Receita!$L$2:$L$508)+SUMIF(Mercado_Receita!$S$2:$S$508,"44440A4AzulNão se aplicaNão se aplicaAPENão se aplicaFora ponta",Mercado_Receita!$L$2:$L$508)+SUMIF(Mercado_Receita!$S$2:$S$508,"44440A4AzulNão se aplicaNão se aplicaAPENão se aplicaIntermediário",Mercado_Receita!$L$2:$L$508)+SUMIF(Mercado_Receita!$S$2:$S$508,"44440A4AzulNão se aplicaNão se aplicaAPENão se aplicaNão se aplica",Mercado_Receita!$L$2:$L$508)</f>
        <v>0</v>
      </c>
      <c r="J5" s="13">
        <f>SUMIF(Mercado_Receita!$S$2:$S$508,"44470A4AzulNão se aplicaNão se aplicaAPENão se aplicaPonta",Mercado_Receita!$L$2:$L$508)+SUMIF(Mercado_Receita!$S$2:$S$508,"44470A4AzulNão se aplicaNão se aplicaAPENão se aplicaFora ponta",Mercado_Receita!$L$2:$L$508)+SUMIF(Mercado_Receita!$S$2:$S$508,"44470A4AzulNão se aplicaNão se aplicaAPENão se aplicaIntermediário",Mercado_Receita!$L$2:$L$508)+SUMIF(Mercado_Receita!$S$2:$S$508,"44470A4AzulNão se aplicaNão se aplicaAPENão se aplicaNão se aplica",Mercado_Receita!$L$2:$L$508)</f>
        <v>0</v>
      </c>
      <c r="K5" s="13">
        <f>SUMIF(Mercado_Receita!$S$2:$S$508,"44501A4AzulNão se aplicaNão se aplicaAPENão se aplicaPonta",Mercado_Receita!$L$2:$L$508)+SUMIF(Mercado_Receita!$S$2:$S$508,"44501A4AzulNão se aplicaNão se aplicaAPENão se aplicaFora ponta",Mercado_Receita!$L$2:$L$508)+SUMIF(Mercado_Receita!$S$2:$S$508,"44501A4AzulNão se aplicaNão se aplicaAPENão se aplicaIntermediário",Mercado_Receita!$L$2:$L$508)+SUMIF(Mercado_Receita!$S$2:$S$508,"44501A4AzulNão se aplicaNão se aplicaAPENão se aplicaNão se aplica",Mercado_Receita!$L$2:$L$508)</f>
        <v>0</v>
      </c>
      <c r="L5" s="13">
        <f>SUMIF(Mercado_Receita!$S$2:$S$508,"44531A4AzulNão se aplicaNão se aplicaAPENão se aplicaPonta",Mercado_Receita!$L$2:$L$508)+SUMIF(Mercado_Receita!$S$2:$S$508,"44531A4AzulNão se aplicaNão se aplicaAPENão se aplicaFora ponta",Mercado_Receita!$L$2:$L$508)+SUMIF(Mercado_Receita!$S$2:$S$508,"44531A4AzulNão se aplicaNão se aplicaAPENão se aplicaIntermediário",Mercado_Receita!$L$2:$L$508)+SUMIF(Mercado_Receita!$S$2:$S$508,"44531A4AzulNão se aplicaNão se aplicaAPENão se aplicaNão se aplica",Mercado_Receita!$L$2:$L$508)</f>
        <v>0</v>
      </c>
      <c r="M5" s="13">
        <f>SUMIF(Mercado_Receita!$S$2:$S$508,"44562A4AzulNão se aplicaNão se aplicaAPENão se aplicaPonta",Mercado_Receita!$L$2:$L$508)+SUMIF(Mercado_Receita!$S$2:$S$508,"44562A4AzulNão se aplicaNão se aplicaAPENão se aplicaFora ponta",Mercado_Receita!$L$2:$L$508)+SUMIF(Mercado_Receita!$S$2:$S$508,"44562A4AzulNão se aplicaNão se aplicaAPENão se aplicaIntermediário",Mercado_Receita!$L$2:$L$508)+SUMIF(Mercado_Receita!$S$2:$S$508,"44562A4AzulNão se aplicaNão se aplicaAPENão se aplicaNão se aplica",Mercado_Receita!$L$2:$L$508)</f>
        <v>0</v>
      </c>
      <c r="N5" s="13">
        <f>SUMIF(Mercado_Receita!$S$2:$S$508,"44593A4AzulNão se aplicaNão se aplicaAPENão se aplicaPonta",Mercado_Receita!$L$2:$L$508)+SUMIF(Mercado_Receita!$S$2:$S$508,"44593A4AzulNão se aplicaNão se aplicaAPENão se aplicaFora ponta",Mercado_Receita!$L$2:$L$508)+SUMIF(Mercado_Receita!$S$2:$S$508,"44593A4AzulNão se aplicaNão se aplicaAPENão se aplicaIntermediário",Mercado_Receita!$L$2:$L$508)+SUMIF(Mercado_Receita!$S$2:$S$508,"44593A4AzulNão se aplicaNão se aplicaAPENão se aplicaNão se aplica",Mercado_Receita!$L$2:$L$508)</f>
        <v>0</v>
      </c>
      <c r="O5" s="13">
        <f>SUMIF(Mercado_Receita!$S$2:$S$508,"44621A4AzulNão se aplicaNão se aplicaAPENão se aplicaPonta",Mercado_Receita!$L$2:$L$508)+SUMIF(Mercado_Receita!$S$2:$S$508,"44621A4AzulNão se aplicaNão se aplicaAPENão se aplicaFora ponta",Mercado_Receita!$L$2:$L$508)+SUMIF(Mercado_Receita!$S$2:$S$508,"44621A4AzulNão se aplicaNão se aplicaAPENão se aplicaIntermediário",Mercado_Receita!$L$2:$L$508)+SUMIF(Mercado_Receita!$S$2:$S$508,"44621A4AzulNão se aplicaNão se aplicaAPENão se aplicaNão se aplica",Mercado_Receita!$L$2:$L$508)</f>
        <v>0</v>
      </c>
      <c r="P5" s="13">
        <f>SUMIF(Mercado_Receita!$S$2:$S$508,"44652A4AzulNão se aplicaNão se aplicaAPENão se aplicaPonta",Mercado_Receita!$L$2:$L$508)+SUMIF(Mercado_Receita!$S$2:$S$508,"44652A4AzulNão se aplicaNão se aplicaAPENão se aplicaFora ponta",Mercado_Receita!$L$2:$L$508)+SUMIF(Mercado_Receita!$S$2:$S$508,"44652A4AzulNão se aplicaNão se aplicaAPENão se aplicaIntermediário",Mercado_Receita!$L$2:$L$508)+SUMIF(Mercado_Receita!$S$2:$S$508,"44652A4AzulNão se aplicaNão se aplicaAPENão se aplicaNão se aplica",Mercado_Receita!$L$2:$L$508)</f>
        <v>0</v>
      </c>
      <c r="Q5" s="13">
        <f>SUMIF(Mercado_Receita!$S$2:$S$508,"44682A4AzulNão se aplicaNão se aplicaAPENão se aplicaPonta",Mercado_Receita!$L$2:$L$508)+SUMIF(Mercado_Receita!$S$2:$S$508,"44682A4AzulNão se aplicaNão se aplicaAPENão se aplicaFora ponta",Mercado_Receita!$L$2:$L$508)+SUMIF(Mercado_Receita!$S$2:$S$508,"44682A4AzulNão se aplicaNão se aplicaAPENão se aplicaIntermediário",Mercado_Receita!$L$2:$L$508)+SUMIF(Mercado_Receita!$S$2:$S$508,"44682A4AzulNão se aplicaNão se aplicaAPENão se aplicaNão se aplica",Mercado_Receita!$L$2:$L$508)</f>
        <v>0</v>
      </c>
      <c r="R5" s="13">
        <f>SUMIF(Mercado_Receita!$S$2:$S$508,"44713A4AzulNão se aplicaNão se aplicaAPENão se aplicaPonta",Mercado_Receita!$L$2:$L$508)+SUMIF(Mercado_Receita!$S$2:$S$508,"44713A4AzulNão se aplicaNão se aplicaAPENão se aplicaFora ponta",Mercado_Receita!$L$2:$L$508)+SUMIF(Mercado_Receita!$S$2:$S$508,"44713A4AzulNão se aplicaNão se aplicaAPENão se aplicaIntermediário",Mercado_Receita!$L$2:$L$508)+SUMIF(Mercado_Receita!$S$2:$S$508,"44713A4AzulNão se aplicaNão se aplicaAPENão se aplicaNão se aplica",Mercado_Receita!$L$2:$L$508)</f>
        <v>0</v>
      </c>
      <c r="S5" s="13">
        <f>SUMIF(Mercado_Receita!$S$2:$S$508,"44743A4AzulNão se aplicaNão se aplicaAPENão se aplicaPonta",Mercado_Receita!$L$2:$L$508)+SUMIF(Mercado_Receita!$S$2:$S$508,"44743A4AzulNão se aplicaNão se aplicaAPENão se aplicaFora ponta",Mercado_Receita!$L$2:$L$508)+SUMIF(Mercado_Receita!$S$2:$S$508,"44743A4AzulNão se aplicaNão se aplicaAPENão se aplicaIntermediário",Mercado_Receita!$L$2:$L$508)+SUMIF(Mercado_Receita!$S$2:$S$508,"44743A4AzulNão se aplicaNão se aplicaAPENão se aplicaNão se aplica",Mercado_Receita!$L$2:$L$508)</f>
        <v>0</v>
      </c>
      <c r="T5" s="13">
        <f>SUMIF(Mercado_Receita!$S$2:$S$508,"44774A4AzulNão se aplicaNão se aplicaAPENão se aplicaPonta",Mercado_Receita!$L$2:$L$508)+SUMIF(Mercado_Receita!$S$2:$S$508,"44774A4AzulNão se aplicaNão se aplicaAPENão se aplicaFora ponta",Mercado_Receita!$L$2:$L$508)+SUMIF(Mercado_Receita!$S$2:$S$508,"44774A4AzulNão se aplicaNão se aplicaAPENão se aplicaIntermediário",Mercado_Receita!$L$2:$L$508)+SUMIF(Mercado_Receita!$S$2:$S$508,"44774A4AzulNão se aplicaNão se aplicaAPENão se aplicaNão se aplica",Mercado_Receita!$L$2:$L$508)</f>
        <v>0</v>
      </c>
      <c r="U5" s="13">
        <f t="shared" si="0"/>
        <v>0</v>
      </c>
      <c r="V5" s="13"/>
      <c r="W5" s="13"/>
    </row>
    <row r="6" spans="1:30" ht="11.25" customHeight="1" x14ac:dyDescent="0.25">
      <c r="A6" s="87"/>
      <c r="B6" s="12" t="s">
        <v>81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76</v>
      </c>
      <c r="I6" s="13">
        <f>SUMIF(Mercado_Receita!$S$2:$S$508,"44440A4GeraçãoNão se aplicaNão se aplicaNão se aplicaNão se aplicaNão se aplica",Mercado_Receita!$J$2:$J$508)+SUMIF(Mercado_Receita!$S$2:$S$508,"44440A4GeraçãoNão se aplicaNão se aplicaAPENão se aplicaNão se aplica",Mercado_Receita!$J$2:$J$508)</f>
        <v>0</v>
      </c>
      <c r="J6" s="13">
        <f>SUMIF(Mercado_Receita!$S$2:$S$508,"44470A4GeraçãoNão se aplicaNão se aplicaNão se aplicaNão se aplicaNão se aplica",Mercado_Receita!$J$2:$J$508)+SUMIF(Mercado_Receita!$S$2:$S$508,"44470A4GeraçãoNão se aplicaNão se aplicaAPENão se aplicaNão se aplica",Mercado_Receita!$J$2:$J$508)</f>
        <v>0</v>
      </c>
      <c r="K6" s="13">
        <f>SUMIF(Mercado_Receita!$S$2:$S$508,"44501A4GeraçãoNão se aplicaNão se aplicaNão se aplicaNão se aplicaNão se aplica",Mercado_Receita!$J$2:$J$508)+SUMIF(Mercado_Receita!$S$2:$S$508,"44501A4GeraçãoNão se aplicaNão se aplicaAPENão se aplicaNão se aplica",Mercado_Receita!$J$2:$J$508)</f>
        <v>0</v>
      </c>
      <c r="L6" s="13">
        <f>SUMIF(Mercado_Receita!$S$2:$S$508,"44531A4GeraçãoNão se aplicaNão se aplicaNão se aplicaNão se aplicaNão se aplica",Mercado_Receita!$J$2:$J$508)+SUMIF(Mercado_Receita!$S$2:$S$508,"44531A4GeraçãoNão se aplicaNão se aplicaAPENão se aplicaNão se aplica",Mercado_Receita!$J$2:$J$508)</f>
        <v>0</v>
      </c>
      <c r="M6" s="13">
        <f>SUMIF(Mercado_Receita!$S$2:$S$508,"44562A4GeraçãoNão se aplicaNão se aplicaNão se aplicaNão se aplicaNão se aplica",Mercado_Receita!$J$2:$J$508)+SUMIF(Mercado_Receita!$S$2:$S$508,"44562A4GeraçãoNão se aplicaNão se aplicaAPENão se aplicaNão se aplica",Mercado_Receita!$J$2:$J$508)</f>
        <v>0</v>
      </c>
      <c r="N6" s="13">
        <f>SUMIF(Mercado_Receita!$S$2:$S$508,"44593A4GeraçãoNão se aplicaNão se aplicaNão se aplicaNão se aplicaNão se aplica",Mercado_Receita!$J$2:$J$508)+SUMIF(Mercado_Receita!$S$2:$S$508,"44593A4GeraçãoNão se aplicaNão se aplicaAPENão se aplicaNão se aplica",Mercado_Receita!$J$2:$J$508)</f>
        <v>0</v>
      </c>
      <c r="O6" s="13">
        <f>SUMIF(Mercado_Receita!$S$2:$S$508,"44621A4GeraçãoNão se aplicaNão se aplicaNão se aplicaNão se aplicaNão se aplica",Mercado_Receita!$J$2:$J$508)+SUMIF(Mercado_Receita!$S$2:$S$508,"44621A4GeraçãoNão se aplicaNão se aplicaAPENão se aplicaNão se aplica",Mercado_Receita!$J$2:$J$508)</f>
        <v>0</v>
      </c>
      <c r="P6" s="13">
        <f>SUMIF(Mercado_Receita!$S$2:$S$508,"44652A4GeraçãoNão se aplicaNão se aplicaNão se aplicaNão se aplicaNão se aplica",Mercado_Receita!$J$2:$J$508)+SUMIF(Mercado_Receita!$S$2:$S$508,"44652A4GeraçãoNão se aplicaNão se aplicaAPENão se aplicaNão se aplica",Mercado_Receita!$J$2:$J$508)</f>
        <v>0</v>
      </c>
      <c r="Q6" s="13">
        <f>SUMIF(Mercado_Receita!$S$2:$S$508,"44682A4GeraçãoNão se aplicaNão se aplicaNão se aplicaNão se aplicaNão se aplica",Mercado_Receita!$J$2:$J$508)+SUMIF(Mercado_Receita!$S$2:$S$508,"44682A4GeraçãoNão se aplicaNão se aplicaAPENão se aplicaNão se aplica",Mercado_Receita!$J$2:$J$508)</f>
        <v>0</v>
      </c>
      <c r="R6" s="13">
        <f>SUMIF(Mercado_Receita!$S$2:$S$508,"44713A4GeraçãoNão se aplicaNão se aplicaNão se aplicaNão se aplicaNão se aplica",Mercado_Receita!$J$2:$J$508)+SUMIF(Mercado_Receita!$S$2:$S$508,"44713A4GeraçãoNão se aplicaNão se aplicaAPENão se aplicaNão se aplica",Mercado_Receita!$J$2:$J$508)</f>
        <v>0</v>
      </c>
      <c r="S6" s="13">
        <f>SUMIF(Mercado_Receita!$S$2:$S$508,"44743A4GeraçãoNão se aplicaNão se aplicaNão se aplicaNão se aplicaNão se aplica",Mercado_Receita!$J$2:$J$508)+SUMIF(Mercado_Receita!$S$2:$S$508,"44743A4GeraçãoNão se aplicaNão se aplicaAPENão se aplicaNão se aplica",Mercado_Receita!$J$2:$J$508)</f>
        <v>0</v>
      </c>
      <c r="T6" s="13">
        <f>SUMIF(Mercado_Receita!$S$2:$S$508,"44774A4GeraçãoNão se aplicaNão se aplicaNão se aplicaNão se aplicaNão se aplica",Mercado_Receita!$J$2:$J$508)+SUMIF(Mercado_Receita!$S$2:$S$508,"44774A4GeraçãoNão se aplicaNão se aplicaAPENão se aplicaNão se aplica",Mercado_Receita!$J$2:$J$508)</f>
        <v>0</v>
      </c>
      <c r="U6" s="13">
        <f t="shared" si="0"/>
        <v>0</v>
      </c>
      <c r="V6" s="13"/>
      <c r="W6" s="13"/>
    </row>
    <row r="7" spans="1:30" ht="11.25" customHeight="1" x14ac:dyDescent="0.25">
      <c r="A7" s="87"/>
      <c r="B7" s="86" t="s">
        <v>36</v>
      </c>
      <c r="C7" s="86" t="s">
        <v>25</v>
      </c>
      <c r="D7" s="86" t="s">
        <v>25</v>
      </c>
      <c r="E7" s="86" t="s">
        <v>25</v>
      </c>
      <c r="F7" s="86" t="s">
        <v>25</v>
      </c>
      <c r="G7" s="13" t="s">
        <v>9</v>
      </c>
      <c r="H7" s="13" t="s">
        <v>76</v>
      </c>
      <c r="I7" s="13">
        <f>SUMIF(Mercado_Receita!$S$2:$S$508,"44440A4VerdeNão se aplicaNão se aplicaNão se aplicaNão se aplicaNão se aplica",Mercado_Receita!$J$2:$J$508)+SUMIF(Mercado_Receita!$S$2:$S$508,"44440A4VerdeNão se aplicaNão se aplicaAPENão se aplicaNão se aplica",Mercado_Receita!$J$2:$J$508)</f>
        <v>9819</v>
      </c>
      <c r="J7" s="13">
        <f>SUMIF(Mercado_Receita!$S$2:$S$508,"44470A4VerdeNão se aplicaNão se aplicaNão se aplicaNão se aplicaNão se aplica",Mercado_Receita!$J$2:$J$508)+SUMIF(Mercado_Receita!$S$2:$S$508,"44470A4VerdeNão se aplicaNão se aplicaAPENão se aplicaNão se aplica",Mercado_Receita!$J$2:$J$508)</f>
        <v>10630</v>
      </c>
      <c r="K7" s="13">
        <f>SUMIF(Mercado_Receita!$S$2:$S$508,"44501A4VerdeNão se aplicaNão se aplicaNão se aplicaNão se aplicaNão se aplica",Mercado_Receita!$J$2:$J$508)+SUMIF(Mercado_Receita!$S$2:$S$508,"44501A4VerdeNão se aplicaNão se aplicaAPENão se aplicaNão se aplica",Mercado_Receita!$J$2:$J$508)</f>
        <v>9296</v>
      </c>
      <c r="L7" s="13">
        <f>SUMIF(Mercado_Receita!$S$2:$S$508,"44531A4VerdeNão se aplicaNão se aplicaNão se aplicaNão se aplicaNão se aplica",Mercado_Receita!$J$2:$J$508)+SUMIF(Mercado_Receita!$S$2:$S$508,"44531A4VerdeNão se aplicaNão se aplicaAPENão se aplicaNão se aplica",Mercado_Receita!$J$2:$J$508)</f>
        <v>8083</v>
      </c>
      <c r="M7" s="13">
        <f>SUMIF(Mercado_Receita!$S$2:$S$508,"44562A4VerdeNão se aplicaNão se aplicaNão se aplicaNão se aplicaNão se aplica",Mercado_Receita!$J$2:$J$508)+SUMIF(Mercado_Receita!$S$2:$S$508,"44562A4VerdeNão se aplicaNão se aplicaAPENão se aplicaNão se aplica",Mercado_Receita!$J$2:$J$508)</f>
        <v>8036</v>
      </c>
      <c r="N7" s="13">
        <f>SUMIF(Mercado_Receita!$S$2:$S$508,"44593A4VerdeNão se aplicaNão se aplicaNão se aplicaNão se aplicaNão se aplica",Mercado_Receita!$J$2:$J$508)+SUMIF(Mercado_Receita!$S$2:$S$508,"44593A4VerdeNão se aplicaNão se aplicaAPENão se aplicaNão se aplica",Mercado_Receita!$J$2:$J$508)</f>
        <v>8455</v>
      </c>
      <c r="O7" s="13">
        <f>SUMIF(Mercado_Receita!$S$2:$S$508,"44621A4VerdeNão se aplicaNão se aplicaNão se aplicaNão se aplicaNão se aplica",Mercado_Receita!$J$2:$J$508)+SUMIF(Mercado_Receita!$S$2:$S$508,"44621A4VerdeNão se aplicaNão se aplicaAPENão se aplicaNão se aplica",Mercado_Receita!$J$2:$J$508)</f>
        <v>8103</v>
      </c>
      <c r="P7" s="13">
        <f>SUMIF(Mercado_Receita!$S$2:$S$508,"44652A4VerdeNão se aplicaNão se aplicaNão se aplicaNão se aplicaNão se aplica",Mercado_Receita!$J$2:$J$508)+SUMIF(Mercado_Receita!$S$2:$S$508,"44652A4VerdeNão se aplicaNão se aplicaAPENão se aplicaNão se aplica",Mercado_Receita!$J$2:$J$508)</f>
        <v>9108</v>
      </c>
      <c r="Q7" s="13">
        <f>SUMIF(Mercado_Receita!$S$2:$S$508,"44682A4VerdeNão se aplicaNão se aplicaNão se aplicaNão se aplicaNão se aplica",Mercado_Receita!$J$2:$J$508)+SUMIF(Mercado_Receita!$S$2:$S$508,"44682A4VerdeNão se aplicaNão se aplicaAPENão se aplicaNão se aplica",Mercado_Receita!$J$2:$J$508)</f>
        <v>10454</v>
      </c>
      <c r="R7" s="13">
        <f>SUMIF(Mercado_Receita!$S$2:$S$508,"44713A4VerdeNão se aplicaNão se aplicaNão se aplicaNão se aplicaNão se aplica",Mercado_Receita!$J$2:$J$508)+SUMIF(Mercado_Receita!$S$2:$S$508,"44713A4VerdeNão se aplicaNão se aplicaAPENão se aplicaNão se aplica",Mercado_Receita!$J$2:$J$508)</f>
        <v>9591</v>
      </c>
      <c r="S7" s="13">
        <f>SUMIF(Mercado_Receita!$S$2:$S$508,"44743A4VerdeNão se aplicaNão se aplicaNão se aplicaNão se aplicaNão se aplica",Mercado_Receita!$J$2:$J$508)+SUMIF(Mercado_Receita!$S$2:$S$508,"44743A4VerdeNão se aplicaNão se aplicaAPENão se aplicaNão se aplica",Mercado_Receita!$J$2:$J$508)</f>
        <v>9596</v>
      </c>
      <c r="T7" s="13">
        <f>SUMIF(Mercado_Receita!$S$2:$S$508,"44774A4VerdeNão se aplicaNão se aplicaNão se aplicaNão se aplicaNão se aplica",Mercado_Receita!$J$2:$J$508)+SUMIF(Mercado_Receita!$S$2:$S$508,"44774A4VerdeNão se aplicaNão se aplicaAPENão se aplicaNão se aplica",Mercado_Receita!$J$2:$J$508)</f>
        <v>10507</v>
      </c>
      <c r="U7" s="13">
        <f t="shared" si="0"/>
        <v>111678</v>
      </c>
      <c r="V7" s="13"/>
      <c r="W7" s="13"/>
    </row>
    <row r="8" spans="1:30" ht="11.25" customHeight="1" x14ac:dyDescent="0.25">
      <c r="A8" s="87"/>
      <c r="B8" s="87"/>
      <c r="C8" s="87"/>
      <c r="D8" s="87"/>
      <c r="E8" s="87"/>
      <c r="F8" s="87"/>
      <c r="G8" s="13" t="s">
        <v>74</v>
      </c>
      <c r="H8" s="13" t="s">
        <v>73</v>
      </c>
      <c r="I8" s="13">
        <f>SUMIF(Mercado_Receita!$S$2:$S$508,"44440A4VerdeNão se aplicaNão se aplicaNão se aplicaNão se aplicaPonta",Mercado_Receita!$L$2:$L$508)</f>
        <v>59.567</v>
      </c>
      <c r="J8" s="13">
        <f>SUMIF(Mercado_Receita!$S$2:$S$508,"44470A4VerdeNão se aplicaNão se aplicaNão se aplicaNão se aplicaPonta",Mercado_Receita!$L$2:$L$508)</f>
        <v>65.307999999999993</v>
      </c>
      <c r="K8" s="13">
        <f>SUMIF(Mercado_Receita!$S$2:$S$508,"44501A4VerdeNão se aplicaNão se aplicaNão se aplicaNão se aplicaPonta",Mercado_Receita!$L$2:$L$508)</f>
        <v>56.218999999999994</v>
      </c>
      <c r="L8" s="13">
        <f>SUMIF(Mercado_Receita!$S$2:$S$508,"44531A4VerdeNão se aplicaNão se aplicaNão se aplicaNão se aplicaPonta",Mercado_Receita!$L$2:$L$508)</f>
        <v>47.892000000000003</v>
      </c>
      <c r="M8" s="13">
        <f>SUMIF(Mercado_Receita!$S$2:$S$508,"44562A4VerdeNão se aplicaNão se aplicaNão se aplicaNão se aplicaPonta",Mercado_Receita!$L$2:$L$508)</f>
        <v>54.533000000000008</v>
      </c>
      <c r="N8" s="13">
        <f>SUMIF(Mercado_Receita!$S$2:$S$508,"44593A4VerdeNão se aplicaNão se aplicaNão se aplicaNão se aplicaPonta",Mercado_Receita!$L$2:$L$508)</f>
        <v>55.554000000000002</v>
      </c>
      <c r="O8" s="13">
        <f>SUMIF(Mercado_Receita!$S$2:$S$508,"44621A4VerdeNão se aplicaNão se aplicaNão se aplicaNão se aplicaPonta",Mercado_Receita!$L$2:$L$508)</f>
        <v>65.698999999999998</v>
      </c>
      <c r="P8" s="13">
        <f>SUMIF(Mercado_Receita!$S$2:$S$508,"44652A4VerdeNão se aplicaNão se aplicaNão se aplicaNão se aplicaPonta",Mercado_Receita!$L$2:$L$508)</f>
        <v>59.600999999999992</v>
      </c>
      <c r="Q8" s="13">
        <f>SUMIF(Mercado_Receita!$S$2:$S$508,"44682A4VerdeNão se aplicaNão se aplicaNão se aplicaNão se aplicaPonta",Mercado_Receita!$L$2:$L$508)</f>
        <v>76.163999999999987</v>
      </c>
      <c r="R8" s="13">
        <f>SUMIF(Mercado_Receita!$S$2:$S$508,"44713A4VerdeNão se aplicaNão se aplicaNão se aplicaNão se aplicaPonta",Mercado_Receita!$L$2:$L$508)</f>
        <v>51.068000000000005</v>
      </c>
      <c r="S8" s="13">
        <f>SUMIF(Mercado_Receita!$S$2:$S$508,"44743A4VerdeNão se aplicaNão se aplicaNão se aplicaNão se aplicaPonta",Mercado_Receita!$L$2:$L$508)</f>
        <v>54.611999999999995</v>
      </c>
      <c r="T8" s="13">
        <f>SUMIF(Mercado_Receita!$S$2:$S$508,"44774A4VerdeNão se aplicaNão se aplicaNão se aplicaNão se aplicaPonta",Mercado_Receita!$L$2:$L$508)</f>
        <v>78.250999999999991</v>
      </c>
      <c r="U8" s="13">
        <f t="shared" si="0"/>
        <v>724.46799999999996</v>
      </c>
      <c r="V8" s="13"/>
      <c r="W8" s="13"/>
    </row>
    <row r="9" spans="1:30" ht="11.25" customHeight="1" x14ac:dyDescent="0.25">
      <c r="A9" s="87"/>
      <c r="B9" s="87"/>
      <c r="C9" s="87"/>
      <c r="D9" s="87"/>
      <c r="E9" s="87"/>
      <c r="F9" s="87"/>
      <c r="G9" s="13" t="s">
        <v>75</v>
      </c>
      <c r="H9" s="13" t="s">
        <v>73</v>
      </c>
      <c r="I9" s="13">
        <f>SUMIF(Mercado_Receita!$S$2:$S$508,"44440A4VerdeNão se aplicaNão se aplicaNão se aplicaNão se aplicaFora ponta",Mercado_Receita!$L$2:$L$508)</f>
        <v>2434.2330000000002</v>
      </c>
      <c r="J9" s="13">
        <f>SUMIF(Mercado_Receita!$S$2:$S$508,"44470A4VerdeNão se aplicaNão se aplicaNão se aplicaNão se aplicaFora ponta",Mercado_Receita!$L$2:$L$508)</f>
        <v>1598.1639999999998</v>
      </c>
      <c r="K9" s="13">
        <f>SUMIF(Mercado_Receita!$S$2:$S$508,"44501A4VerdeNão se aplicaNão se aplicaNão se aplicaNão se aplicaFora ponta",Mercado_Receita!$L$2:$L$508)</f>
        <v>1289.4740000000002</v>
      </c>
      <c r="L9" s="13">
        <f>SUMIF(Mercado_Receita!$S$2:$S$508,"44531A4VerdeNão se aplicaNão se aplicaNão se aplicaNão se aplicaFora ponta",Mercado_Receita!$L$2:$L$508)</f>
        <v>1007.503</v>
      </c>
      <c r="M9" s="13">
        <f>SUMIF(Mercado_Receita!$S$2:$S$508,"44562A4VerdeNão se aplicaNão se aplicaNão se aplicaNão se aplicaFora ponta",Mercado_Receita!$L$2:$L$508)</f>
        <v>1160.556</v>
      </c>
      <c r="N9" s="13">
        <f>SUMIF(Mercado_Receita!$S$2:$S$508,"44593A4VerdeNão se aplicaNão se aplicaNão se aplicaNão se aplicaFora ponta",Mercado_Receita!$L$2:$L$508)</f>
        <v>1250.691</v>
      </c>
      <c r="O9" s="13">
        <f>SUMIF(Mercado_Receita!$S$2:$S$508,"44621A4VerdeNão se aplicaNão se aplicaNão se aplicaNão se aplicaFora ponta",Mercado_Receita!$L$2:$L$508)</f>
        <v>1332.0709999999999</v>
      </c>
      <c r="P9" s="13">
        <f>SUMIF(Mercado_Receita!$S$2:$S$508,"44652A4VerdeNão se aplicaNão se aplicaNão se aplicaNão se aplicaFora ponta",Mercado_Receita!$L$2:$L$508)</f>
        <v>1555.2859999999998</v>
      </c>
      <c r="Q9" s="13">
        <f>SUMIF(Mercado_Receita!$S$2:$S$508,"44682A4VerdeNão se aplicaNão se aplicaNão se aplicaNão se aplicaFora ponta",Mercado_Receita!$L$2:$L$508)</f>
        <v>2164.4989999999998</v>
      </c>
      <c r="R9" s="13">
        <f>SUMIF(Mercado_Receita!$S$2:$S$508,"44713A4VerdeNão se aplicaNão se aplicaNão se aplicaNão se aplicaFora ponta",Mercado_Receita!$L$2:$L$508)</f>
        <v>1291.1849999999999</v>
      </c>
      <c r="S9" s="13">
        <f>SUMIF(Mercado_Receita!$S$2:$S$508,"44743A4VerdeNão se aplicaNão se aplicaNão se aplicaNão se aplicaFora ponta",Mercado_Receita!$L$2:$L$508)</f>
        <v>1666.6519999999998</v>
      </c>
      <c r="T9" s="13">
        <f>SUMIF(Mercado_Receita!$S$2:$S$508,"44774A4VerdeNão se aplicaNão se aplicaNão se aplicaNão se aplicaFora ponta",Mercado_Receita!$L$2:$L$508)</f>
        <v>2306.1089999999999</v>
      </c>
      <c r="U9" s="13">
        <f t="shared" si="0"/>
        <v>19056.422999999999</v>
      </c>
      <c r="V9" s="13"/>
      <c r="W9" s="13"/>
    </row>
    <row r="10" spans="1:30" ht="11.25" customHeight="1" x14ac:dyDescent="0.25">
      <c r="A10" s="87"/>
      <c r="B10" s="87"/>
      <c r="C10" s="87"/>
      <c r="D10" s="87"/>
      <c r="E10" s="86" t="s">
        <v>80</v>
      </c>
      <c r="F10" s="86" t="s">
        <v>25</v>
      </c>
      <c r="G10" s="13" t="s">
        <v>74</v>
      </c>
      <c r="H10" s="13" t="s">
        <v>73</v>
      </c>
      <c r="I10" s="13">
        <f>SUMIF(Mercado_Receita!$S$2:$S$508,"44440A4VerdeNão se aplicaNão se aplicaAPENão se aplicaPonta",Mercado_Receita!$L$2:$L$508)</f>
        <v>0</v>
      </c>
      <c r="J10" s="13">
        <f>SUMIF(Mercado_Receita!$S$2:$S$508,"44470A4VerdeNão se aplicaNão se aplicaAPENão se aplicaPonta",Mercado_Receita!$L$2:$L$508)</f>
        <v>0</v>
      </c>
      <c r="K10" s="13">
        <f>SUMIF(Mercado_Receita!$S$2:$S$508,"44501A4VerdeNão se aplicaNão se aplicaAPENão se aplicaPonta",Mercado_Receita!$L$2:$L$508)</f>
        <v>0</v>
      </c>
      <c r="L10" s="13">
        <f>SUMIF(Mercado_Receita!$S$2:$S$508,"44531A4VerdeNão se aplicaNão se aplicaAPENão se aplicaPonta",Mercado_Receita!$L$2:$L$508)</f>
        <v>0</v>
      </c>
      <c r="M10" s="13">
        <f>SUMIF(Mercado_Receita!$S$2:$S$508,"44562A4VerdeNão se aplicaNão se aplicaAPENão se aplicaPonta",Mercado_Receita!$L$2:$L$508)</f>
        <v>0</v>
      </c>
      <c r="N10" s="13">
        <f>SUMIF(Mercado_Receita!$S$2:$S$508,"44593A4VerdeNão se aplicaNão se aplicaAPENão se aplicaPonta",Mercado_Receita!$L$2:$L$508)</f>
        <v>0</v>
      </c>
      <c r="O10" s="13">
        <f>SUMIF(Mercado_Receita!$S$2:$S$508,"44621A4VerdeNão se aplicaNão se aplicaAPENão se aplicaPonta",Mercado_Receita!$L$2:$L$508)</f>
        <v>0</v>
      </c>
      <c r="P10" s="13">
        <f>SUMIF(Mercado_Receita!$S$2:$S$508,"44652A4VerdeNão se aplicaNão se aplicaAPENão se aplicaPonta",Mercado_Receita!$L$2:$L$508)</f>
        <v>0</v>
      </c>
      <c r="Q10" s="13">
        <f>SUMIF(Mercado_Receita!$S$2:$S$508,"44682A4VerdeNão se aplicaNão se aplicaAPENão se aplicaPonta",Mercado_Receita!$L$2:$L$508)</f>
        <v>0</v>
      </c>
      <c r="R10" s="13">
        <f>SUMIF(Mercado_Receita!$S$2:$S$508,"44713A4VerdeNão se aplicaNão se aplicaAPENão se aplicaPonta",Mercado_Receita!$L$2:$L$508)</f>
        <v>0</v>
      </c>
      <c r="S10" s="13">
        <f>SUMIF(Mercado_Receita!$S$2:$S$508,"44743A4VerdeNão se aplicaNão se aplicaAPENão se aplicaPonta",Mercado_Receita!$L$2:$L$508)</f>
        <v>0</v>
      </c>
      <c r="T10" s="13">
        <f>SUMIF(Mercado_Receita!$S$2:$S$508,"44774A4VerdeNão se aplicaNão se aplicaAPENão se aplicaPonta",Mercado_Receita!$L$2:$L$508)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87"/>
      <c r="B11" s="87"/>
      <c r="C11" s="87"/>
      <c r="D11" s="87"/>
      <c r="E11" s="87"/>
      <c r="F11" s="87"/>
      <c r="G11" s="13" t="s">
        <v>75</v>
      </c>
      <c r="H11" s="13" t="s">
        <v>73</v>
      </c>
      <c r="I11" s="13">
        <f>SUMIF(Mercado_Receita!$S$2:$S$508,"44440A4VerdeNão se aplicaNão se aplicaAPENão se aplicaFora ponta",Mercado_Receita!$L$2:$L$508)</f>
        <v>0</v>
      </c>
      <c r="J11" s="13">
        <f>SUMIF(Mercado_Receita!$S$2:$S$508,"44470A4VerdeNão se aplicaNão se aplicaAPENão se aplicaFora ponta",Mercado_Receita!$L$2:$L$508)</f>
        <v>0</v>
      </c>
      <c r="K11" s="13">
        <f>SUMIF(Mercado_Receita!$S$2:$S$508,"44501A4VerdeNão se aplicaNão se aplicaAPENão se aplicaFora ponta",Mercado_Receita!$L$2:$L$508)</f>
        <v>0</v>
      </c>
      <c r="L11" s="13">
        <f>SUMIF(Mercado_Receita!$S$2:$S$508,"44531A4VerdeNão se aplicaNão se aplicaAPENão se aplicaFora ponta",Mercado_Receita!$L$2:$L$508)</f>
        <v>0</v>
      </c>
      <c r="M11" s="13">
        <f>SUMIF(Mercado_Receita!$S$2:$S$508,"44562A4VerdeNão se aplicaNão se aplicaAPENão se aplicaFora ponta",Mercado_Receita!$L$2:$L$508)</f>
        <v>0</v>
      </c>
      <c r="N11" s="13">
        <f>SUMIF(Mercado_Receita!$S$2:$S$508,"44593A4VerdeNão se aplicaNão se aplicaAPENão se aplicaFora ponta",Mercado_Receita!$L$2:$L$508)</f>
        <v>0</v>
      </c>
      <c r="O11" s="13">
        <f>SUMIF(Mercado_Receita!$S$2:$S$508,"44621A4VerdeNão se aplicaNão se aplicaAPENão se aplicaFora ponta",Mercado_Receita!$L$2:$L$508)</f>
        <v>0</v>
      </c>
      <c r="P11" s="13">
        <f>SUMIF(Mercado_Receita!$S$2:$S$508,"44652A4VerdeNão se aplicaNão se aplicaAPENão se aplicaFora ponta",Mercado_Receita!$L$2:$L$508)</f>
        <v>0</v>
      </c>
      <c r="Q11" s="13">
        <f>SUMIF(Mercado_Receita!$S$2:$S$508,"44682A4VerdeNão se aplicaNão se aplicaAPENão se aplicaFora ponta",Mercado_Receita!$L$2:$L$508)</f>
        <v>0</v>
      </c>
      <c r="R11" s="13">
        <f>SUMIF(Mercado_Receita!$S$2:$S$508,"44713A4VerdeNão se aplicaNão se aplicaAPENão se aplicaFora ponta",Mercado_Receita!$L$2:$L$508)</f>
        <v>0</v>
      </c>
      <c r="S11" s="13">
        <f>SUMIF(Mercado_Receita!$S$2:$S$508,"44743A4VerdeNão se aplicaNão se aplicaAPENão se aplicaFora ponta",Mercado_Receita!$L$2:$L$508)</f>
        <v>0</v>
      </c>
      <c r="T11" s="13">
        <f>SUMIF(Mercado_Receita!$S$2:$S$508,"44774A4VerdeNão se aplicaNão se aplicaAPENão se aplicaFora ponta",Mercado_Receita!$L$2:$L$508)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86" t="s">
        <v>82</v>
      </c>
      <c r="B12" s="86" t="s">
        <v>81</v>
      </c>
      <c r="C12" s="86" t="s">
        <v>25</v>
      </c>
      <c r="D12" s="86" t="s">
        <v>25</v>
      </c>
      <c r="E12" s="12" t="s">
        <v>83</v>
      </c>
      <c r="F12" s="12" t="s">
        <v>25</v>
      </c>
      <c r="G12" s="13" t="s">
        <v>9</v>
      </c>
      <c r="H12" s="13" t="s">
        <v>76</v>
      </c>
      <c r="I12" s="13">
        <f>SUMIF(Mercado_Receita!$S$2:$S$508,"44440BGeraçãoNão se aplicaNão se aplicaTIPO 01Não se aplicaNão se aplica",Mercado_Receita!$J$2:$J$508)+SUMIF(Mercado_Receita!$S$2:$S$508,"44440BGeraçãoNão se aplicaNão se aplicaAPENão se aplicaNão se aplica",Mercado_Receita!$J$2:$J$508)</f>
        <v>0</v>
      </c>
      <c r="J12" s="13">
        <f>SUMIF(Mercado_Receita!$S$2:$S$508,"44470BGeraçãoNão se aplicaNão se aplicaTIPO 01Não se aplicaNão se aplica",Mercado_Receita!$J$2:$J$508)+SUMIF(Mercado_Receita!$S$2:$S$508,"44470BGeraçãoNão se aplicaNão se aplicaAPENão se aplicaNão se aplica",Mercado_Receita!$J$2:$J$508)</f>
        <v>0</v>
      </c>
      <c r="K12" s="13">
        <f>SUMIF(Mercado_Receita!$S$2:$S$508,"44501BGeraçãoNão se aplicaNão se aplicaTIPO 01Não se aplicaNão se aplica",Mercado_Receita!$J$2:$J$508)+SUMIF(Mercado_Receita!$S$2:$S$508,"44501BGeraçãoNão se aplicaNão se aplicaAPENão se aplicaNão se aplica",Mercado_Receita!$J$2:$J$508)</f>
        <v>0</v>
      </c>
      <c r="L12" s="13">
        <f>SUMIF(Mercado_Receita!$S$2:$S$508,"44531BGeraçãoNão se aplicaNão se aplicaTIPO 01Não se aplicaNão se aplica",Mercado_Receita!$J$2:$J$508)+SUMIF(Mercado_Receita!$S$2:$S$508,"44531BGeraçãoNão se aplicaNão se aplicaAPENão se aplicaNão se aplica",Mercado_Receita!$J$2:$J$508)</f>
        <v>0</v>
      </c>
      <c r="M12" s="13">
        <f>SUMIF(Mercado_Receita!$S$2:$S$508,"44562BGeraçãoNão se aplicaNão se aplicaTIPO 01Não se aplicaNão se aplica",Mercado_Receita!$J$2:$J$508)+SUMIF(Mercado_Receita!$S$2:$S$508,"44562BGeraçãoNão se aplicaNão se aplicaAPENão se aplicaNão se aplica",Mercado_Receita!$J$2:$J$508)</f>
        <v>0</v>
      </c>
      <c r="N12" s="13">
        <f>SUMIF(Mercado_Receita!$S$2:$S$508,"44593BGeraçãoNão se aplicaNão se aplicaTIPO 01Não se aplicaNão se aplica",Mercado_Receita!$J$2:$J$508)+SUMIF(Mercado_Receita!$S$2:$S$508,"44593BGeraçãoNão se aplicaNão se aplicaAPENão se aplicaNão se aplica",Mercado_Receita!$J$2:$J$508)</f>
        <v>0</v>
      </c>
      <c r="O12" s="13">
        <f>SUMIF(Mercado_Receita!$S$2:$S$508,"44621BGeraçãoNão se aplicaNão se aplicaTIPO 01Não se aplicaNão se aplica",Mercado_Receita!$J$2:$J$508)+SUMIF(Mercado_Receita!$S$2:$S$508,"44621BGeraçãoNão se aplicaNão se aplicaAPENão se aplicaNão se aplica",Mercado_Receita!$J$2:$J$508)</f>
        <v>0</v>
      </c>
      <c r="P12" s="13">
        <f>SUMIF(Mercado_Receita!$S$2:$S$508,"44652BGeraçãoNão se aplicaNão se aplicaTIPO 01Não se aplicaNão se aplica",Mercado_Receita!$J$2:$J$508)+SUMIF(Mercado_Receita!$S$2:$S$508,"44652BGeraçãoNão se aplicaNão se aplicaAPENão se aplicaNão se aplica",Mercado_Receita!$J$2:$J$508)</f>
        <v>0</v>
      </c>
      <c r="Q12" s="13">
        <f>SUMIF(Mercado_Receita!$S$2:$S$508,"44682BGeraçãoNão se aplicaNão se aplicaTIPO 01Não se aplicaNão se aplica",Mercado_Receita!$J$2:$J$508)+SUMIF(Mercado_Receita!$S$2:$S$508,"44682BGeraçãoNão se aplicaNão se aplicaAPENão se aplicaNão se aplica",Mercado_Receita!$J$2:$J$508)</f>
        <v>0</v>
      </c>
      <c r="R12" s="13">
        <f>SUMIF(Mercado_Receita!$S$2:$S$508,"44713BGeraçãoNão se aplicaNão se aplicaTIPO 01Não se aplicaNão se aplica",Mercado_Receita!$J$2:$J$508)+SUMIF(Mercado_Receita!$S$2:$S$508,"44713BGeraçãoNão se aplicaNão se aplicaAPENão se aplicaNão se aplica",Mercado_Receita!$J$2:$J$508)</f>
        <v>0</v>
      </c>
      <c r="S12" s="13">
        <f>SUMIF(Mercado_Receita!$S$2:$S$508,"44743BGeraçãoNão se aplicaNão se aplicaTIPO 01Não se aplicaNão se aplica",Mercado_Receita!$J$2:$J$508)+SUMIF(Mercado_Receita!$S$2:$S$508,"44743BGeraçãoNão se aplicaNão se aplicaAPENão se aplicaNão se aplica",Mercado_Receita!$J$2:$J$508)</f>
        <v>0</v>
      </c>
      <c r="T12" s="13">
        <f>SUMIF(Mercado_Receita!$S$2:$S$508,"44774BGeraçãoNão se aplicaNão se aplicaTIPO 01Não se aplicaNão se aplica",Mercado_Receita!$J$2:$J$508)+SUMIF(Mercado_Receita!$S$2:$S$508,"44774BGeraçãoNão se aplicaNão se aplicaAPENão se aplicaNão se aplica",Mercado_Receita!$J$2:$J$508)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7"/>
      <c r="B13" s="87"/>
      <c r="C13" s="87"/>
      <c r="D13" s="87"/>
      <c r="E13" s="12" t="s">
        <v>84</v>
      </c>
      <c r="F13" s="12" t="s">
        <v>25</v>
      </c>
      <c r="G13" s="13" t="s">
        <v>9</v>
      </c>
      <c r="H13" s="13" t="s">
        <v>76</v>
      </c>
      <c r="I13" s="13">
        <f>SUMIF(Mercado_Receita!$S$2:$S$508,"44440BGeraçãoNão se aplicaNão se aplicaTIPO 02Não se aplicaNão se aplica",Mercado_Receita!$J$2:$J$508)+SUMIF(Mercado_Receita!$S$2:$S$508,"44440BGeraçãoNão se aplicaNão se aplicaAPENão se aplicaNão se aplica",Mercado_Receita!$J$2:$J$508)</f>
        <v>0</v>
      </c>
      <c r="J13" s="13">
        <f>SUMIF(Mercado_Receita!$S$2:$S$508,"44470BGeraçãoNão se aplicaNão se aplicaTIPO 02Não se aplicaNão se aplica",Mercado_Receita!$J$2:$J$508)+SUMIF(Mercado_Receita!$S$2:$S$508,"44470BGeraçãoNão se aplicaNão se aplicaAPENão se aplicaNão se aplica",Mercado_Receita!$J$2:$J$508)</f>
        <v>0</v>
      </c>
      <c r="K13" s="13">
        <f>SUMIF(Mercado_Receita!$S$2:$S$508,"44501BGeraçãoNão se aplicaNão se aplicaTIPO 02Não se aplicaNão se aplica",Mercado_Receita!$J$2:$J$508)+SUMIF(Mercado_Receita!$S$2:$S$508,"44501BGeraçãoNão se aplicaNão se aplicaAPENão se aplicaNão se aplica",Mercado_Receita!$J$2:$J$508)</f>
        <v>0</v>
      </c>
      <c r="L13" s="13">
        <f>SUMIF(Mercado_Receita!$S$2:$S$508,"44531BGeraçãoNão se aplicaNão se aplicaTIPO 02Não se aplicaNão se aplica",Mercado_Receita!$J$2:$J$508)+SUMIF(Mercado_Receita!$S$2:$S$508,"44531BGeraçãoNão se aplicaNão se aplicaAPENão se aplicaNão se aplica",Mercado_Receita!$J$2:$J$508)</f>
        <v>0</v>
      </c>
      <c r="M13" s="13">
        <f>SUMIF(Mercado_Receita!$S$2:$S$508,"44562BGeraçãoNão se aplicaNão se aplicaTIPO 02Não se aplicaNão se aplica",Mercado_Receita!$J$2:$J$508)+SUMIF(Mercado_Receita!$S$2:$S$508,"44562BGeraçãoNão se aplicaNão se aplicaAPENão se aplicaNão se aplica",Mercado_Receita!$J$2:$J$508)</f>
        <v>0</v>
      </c>
      <c r="N13" s="13">
        <f>SUMIF(Mercado_Receita!$S$2:$S$508,"44593BGeraçãoNão se aplicaNão se aplicaTIPO 02Não se aplicaNão se aplica",Mercado_Receita!$J$2:$J$508)+SUMIF(Mercado_Receita!$S$2:$S$508,"44593BGeraçãoNão se aplicaNão se aplicaAPENão se aplicaNão se aplica",Mercado_Receita!$J$2:$J$508)</f>
        <v>0</v>
      </c>
      <c r="O13" s="13">
        <f>SUMIF(Mercado_Receita!$S$2:$S$508,"44621BGeraçãoNão se aplicaNão se aplicaTIPO 02Não se aplicaNão se aplica",Mercado_Receita!$J$2:$J$508)+SUMIF(Mercado_Receita!$S$2:$S$508,"44621BGeraçãoNão se aplicaNão se aplicaAPENão se aplicaNão se aplica",Mercado_Receita!$J$2:$J$508)</f>
        <v>0</v>
      </c>
      <c r="P13" s="13">
        <f>SUMIF(Mercado_Receita!$S$2:$S$508,"44652BGeraçãoNão se aplicaNão se aplicaTIPO 02Não se aplicaNão se aplica",Mercado_Receita!$J$2:$J$508)+SUMIF(Mercado_Receita!$S$2:$S$508,"44652BGeraçãoNão se aplicaNão se aplicaAPENão se aplicaNão se aplica",Mercado_Receita!$J$2:$J$508)</f>
        <v>0</v>
      </c>
      <c r="Q13" s="13">
        <f>SUMIF(Mercado_Receita!$S$2:$S$508,"44682BGeraçãoNão se aplicaNão se aplicaTIPO 02Não se aplicaNão se aplica",Mercado_Receita!$J$2:$J$508)+SUMIF(Mercado_Receita!$S$2:$S$508,"44682BGeraçãoNão se aplicaNão se aplicaAPENão se aplicaNão se aplica",Mercado_Receita!$J$2:$J$508)</f>
        <v>0</v>
      </c>
      <c r="R13" s="13">
        <f>SUMIF(Mercado_Receita!$S$2:$S$508,"44713BGeraçãoNão se aplicaNão se aplicaTIPO 02Não se aplicaNão se aplica",Mercado_Receita!$J$2:$J$508)+SUMIF(Mercado_Receita!$S$2:$S$508,"44713BGeraçãoNão se aplicaNão se aplicaAPENão se aplicaNão se aplica",Mercado_Receita!$J$2:$J$508)</f>
        <v>0</v>
      </c>
      <c r="S13" s="13">
        <f>SUMIF(Mercado_Receita!$S$2:$S$508,"44743BGeraçãoNão se aplicaNão se aplicaTIPO 02Não se aplicaNão se aplica",Mercado_Receita!$J$2:$J$508)+SUMIF(Mercado_Receita!$S$2:$S$508,"44743BGeraçãoNão se aplicaNão se aplicaAPENão se aplicaNão se aplica",Mercado_Receita!$J$2:$J$508)</f>
        <v>0</v>
      </c>
      <c r="T13" s="13">
        <f>SUMIF(Mercado_Receita!$S$2:$S$508,"44774BGeraçãoNão se aplicaNão se aplicaTIPO 02Não se aplicaNão se aplica",Mercado_Receita!$J$2:$J$508)+SUMIF(Mercado_Receita!$S$2:$S$508,"44774BGeraçãoNão se aplicaNão se aplicaAPENão se aplicaNão se aplica",Mercado_Receita!$J$2:$J$508)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86" t="s">
        <v>22</v>
      </c>
      <c r="B14" s="86" t="s">
        <v>87</v>
      </c>
      <c r="C14" s="86" t="s">
        <v>24</v>
      </c>
      <c r="D14" s="86" t="s">
        <v>24</v>
      </c>
      <c r="E14" s="86" t="s">
        <v>25</v>
      </c>
      <c r="F14" s="86" t="s">
        <v>25</v>
      </c>
      <c r="G14" s="13" t="s">
        <v>74</v>
      </c>
      <c r="H14" s="13" t="s">
        <v>73</v>
      </c>
      <c r="I14" s="13">
        <f>SUMIF(Mercado_Receita!$S$2:$S$508,"44440B1BrancaResidencialResidencialNão se aplicaNão se aplicaPonta",Mercado_Receita!$L$2:$L$508)</f>
        <v>0</v>
      </c>
      <c r="J14" s="13">
        <f>SUMIF(Mercado_Receita!$S$2:$S$508,"44470B1BrancaResidencialResidencialNão se aplicaNão se aplicaPonta",Mercado_Receita!$L$2:$L$508)</f>
        <v>0</v>
      </c>
      <c r="K14" s="13">
        <f>SUMIF(Mercado_Receita!$S$2:$S$508,"44501B1BrancaResidencialResidencialNão se aplicaNão se aplicaPonta",Mercado_Receita!$L$2:$L$508)</f>
        <v>0</v>
      </c>
      <c r="L14" s="13">
        <f>SUMIF(Mercado_Receita!$S$2:$S$508,"44531B1BrancaResidencialResidencialNão se aplicaNão se aplicaPonta",Mercado_Receita!$L$2:$L$508)</f>
        <v>0</v>
      </c>
      <c r="M14" s="13">
        <f>SUMIF(Mercado_Receita!$S$2:$S$508,"44562B1BrancaResidencialResidencialNão se aplicaNão se aplicaPonta",Mercado_Receita!$L$2:$L$508)</f>
        <v>0</v>
      </c>
      <c r="N14" s="13">
        <f>SUMIF(Mercado_Receita!$S$2:$S$508,"44593B1BrancaResidencialResidencialNão se aplicaNão se aplicaPonta",Mercado_Receita!$L$2:$L$508)</f>
        <v>0</v>
      </c>
      <c r="O14" s="13">
        <f>SUMIF(Mercado_Receita!$S$2:$S$508,"44621B1BrancaResidencialResidencialNão se aplicaNão se aplicaPonta",Mercado_Receita!$L$2:$L$508)</f>
        <v>0</v>
      </c>
      <c r="P14" s="13">
        <f>SUMIF(Mercado_Receita!$S$2:$S$508,"44652B1BrancaResidencialResidencialNão se aplicaNão se aplicaPonta",Mercado_Receita!$L$2:$L$508)</f>
        <v>0</v>
      </c>
      <c r="Q14" s="13">
        <f>SUMIF(Mercado_Receita!$S$2:$S$508,"44682B1BrancaResidencialResidencialNão se aplicaNão se aplicaPonta",Mercado_Receita!$L$2:$L$508)</f>
        <v>0</v>
      </c>
      <c r="R14" s="13">
        <f>SUMIF(Mercado_Receita!$S$2:$S$508,"44713B1BrancaResidencialResidencialNão se aplicaNão se aplicaPonta",Mercado_Receita!$L$2:$L$508)</f>
        <v>0</v>
      </c>
      <c r="S14" s="13">
        <f>SUMIF(Mercado_Receita!$S$2:$S$508,"44743B1BrancaResidencialResidencialNão se aplicaNão se aplicaPonta",Mercado_Receita!$L$2:$L$508)</f>
        <v>0</v>
      </c>
      <c r="T14" s="13">
        <f>SUMIF(Mercado_Receita!$S$2:$S$508,"44774B1BrancaResidencialResidencialNão se aplicaNão se aplicaPonta",Mercado_Receita!$L$2:$L$508)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7"/>
      <c r="B15" s="87"/>
      <c r="C15" s="87"/>
      <c r="D15" s="87"/>
      <c r="E15" s="87"/>
      <c r="F15" s="87"/>
      <c r="G15" s="13" t="s">
        <v>85</v>
      </c>
      <c r="H15" s="13" t="s">
        <v>73</v>
      </c>
      <c r="I15" s="13">
        <f>SUMIF(Mercado_Receita!$S$2:$S$508,"44440B1BrancaResidencialResidencialNão se aplicaNão se aplicaIntermediário",Mercado_Receita!$L$2:$L$508)</f>
        <v>0</v>
      </c>
      <c r="J15" s="13">
        <f>SUMIF(Mercado_Receita!$S$2:$S$508,"44470B1BrancaResidencialResidencialNão se aplicaNão se aplicaIntermediário",Mercado_Receita!$L$2:$L$508)</f>
        <v>0</v>
      </c>
      <c r="K15" s="13">
        <f>SUMIF(Mercado_Receita!$S$2:$S$508,"44501B1BrancaResidencialResidencialNão se aplicaNão se aplicaIntermediário",Mercado_Receita!$L$2:$L$508)</f>
        <v>0</v>
      </c>
      <c r="L15" s="13">
        <f>SUMIF(Mercado_Receita!$S$2:$S$508,"44531B1BrancaResidencialResidencialNão se aplicaNão se aplicaIntermediário",Mercado_Receita!$L$2:$L$508)</f>
        <v>0</v>
      </c>
      <c r="M15" s="13">
        <f>SUMIF(Mercado_Receita!$S$2:$S$508,"44562B1BrancaResidencialResidencialNão se aplicaNão se aplicaIntermediário",Mercado_Receita!$L$2:$L$508)</f>
        <v>0</v>
      </c>
      <c r="N15" s="13">
        <f>SUMIF(Mercado_Receita!$S$2:$S$508,"44593B1BrancaResidencialResidencialNão se aplicaNão se aplicaIntermediário",Mercado_Receita!$L$2:$L$508)</f>
        <v>0</v>
      </c>
      <c r="O15" s="13">
        <f>SUMIF(Mercado_Receita!$S$2:$S$508,"44621B1BrancaResidencialResidencialNão se aplicaNão se aplicaIntermediário",Mercado_Receita!$L$2:$L$508)</f>
        <v>0</v>
      </c>
      <c r="P15" s="13">
        <f>SUMIF(Mercado_Receita!$S$2:$S$508,"44652B1BrancaResidencialResidencialNão se aplicaNão se aplicaIntermediário",Mercado_Receita!$L$2:$L$508)</f>
        <v>0</v>
      </c>
      <c r="Q15" s="13">
        <f>SUMIF(Mercado_Receita!$S$2:$S$508,"44682B1BrancaResidencialResidencialNão se aplicaNão se aplicaIntermediário",Mercado_Receita!$L$2:$L$508)</f>
        <v>0</v>
      </c>
      <c r="R15" s="13">
        <f>SUMIF(Mercado_Receita!$S$2:$S$508,"44713B1BrancaResidencialResidencialNão se aplicaNão se aplicaIntermediário",Mercado_Receita!$L$2:$L$508)</f>
        <v>0</v>
      </c>
      <c r="S15" s="13">
        <f>SUMIF(Mercado_Receita!$S$2:$S$508,"44743B1BrancaResidencialResidencialNão se aplicaNão se aplicaIntermediário",Mercado_Receita!$L$2:$L$508)</f>
        <v>0</v>
      </c>
      <c r="T15" s="13">
        <f>SUMIF(Mercado_Receita!$S$2:$S$508,"44774B1BrancaResidencialResidencialNão se aplicaNão se aplicaIntermediário",Mercado_Receita!$L$2:$L$508)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7"/>
      <c r="B16" s="87"/>
      <c r="C16" s="87"/>
      <c r="D16" s="87"/>
      <c r="E16" s="87"/>
      <c r="F16" s="87"/>
      <c r="G16" s="13" t="s">
        <v>75</v>
      </c>
      <c r="H16" s="13" t="s">
        <v>73</v>
      </c>
      <c r="I16" s="13">
        <f>SUMIF(Mercado_Receita!$S$2:$S$508,"44440B1BrancaResidencialResidencialNão se aplicaNão se aplicaFora ponta",Mercado_Receita!$L$2:$L$508)</f>
        <v>0</v>
      </c>
      <c r="J16" s="13">
        <f>SUMIF(Mercado_Receita!$S$2:$S$508,"44470B1BrancaResidencialResidencialNão se aplicaNão se aplicaFora ponta",Mercado_Receita!$L$2:$L$508)</f>
        <v>0</v>
      </c>
      <c r="K16" s="13">
        <f>SUMIF(Mercado_Receita!$S$2:$S$508,"44501B1BrancaResidencialResidencialNão se aplicaNão se aplicaFora ponta",Mercado_Receita!$L$2:$L$508)</f>
        <v>0</v>
      </c>
      <c r="L16" s="13">
        <f>SUMIF(Mercado_Receita!$S$2:$S$508,"44531B1BrancaResidencialResidencialNão se aplicaNão se aplicaFora ponta",Mercado_Receita!$L$2:$L$508)</f>
        <v>0</v>
      </c>
      <c r="M16" s="13">
        <f>SUMIF(Mercado_Receita!$S$2:$S$508,"44562B1BrancaResidencialResidencialNão se aplicaNão se aplicaFora ponta",Mercado_Receita!$L$2:$L$508)</f>
        <v>0</v>
      </c>
      <c r="N16" s="13">
        <f>SUMIF(Mercado_Receita!$S$2:$S$508,"44593B1BrancaResidencialResidencialNão se aplicaNão se aplicaFora ponta",Mercado_Receita!$L$2:$L$508)</f>
        <v>0</v>
      </c>
      <c r="O16" s="13">
        <f>SUMIF(Mercado_Receita!$S$2:$S$508,"44621B1BrancaResidencialResidencialNão se aplicaNão se aplicaFora ponta",Mercado_Receita!$L$2:$L$508)</f>
        <v>0</v>
      </c>
      <c r="P16" s="13">
        <f>SUMIF(Mercado_Receita!$S$2:$S$508,"44652B1BrancaResidencialResidencialNão se aplicaNão se aplicaFora ponta",Mercado_Receita!$L$2:$L$508)</f>
        <v>0</v>
      </c>
      <c r="Q16" s="13">
        <f>SUMIF(Mercado_Receita!$S$2:$S$508,"44682B1BrancaResidencialResidencialNão se aplicaNão se aplicaFora ponta",Mercado_Receita!$L$2:$L$508)</f>
        <v>0</v>
      </c>
      <c r="R16" s="13">
        <f>SUMIF(Mercado_Receita!$S$2:$S$508,"44713B1BrancaResidencialResidencialNão se aplicaNão se aplicaFora ponta",Mercado_Receita!$L$2:$L$508)</f>
        <v>0</v>
      </c>
      <c r="S16" s="13">
        <f>SUMIF(Mercado_Receita!$S$2:$S$508,"44743B1BrancaResidencialResidencialNão se aplicaNão se aplicaFora ponta",Mercado_Receita!$L$2:$L$508)</f>
        <v>0</v>
      </c>
      <c r="T16" s="13">
        <f>SUMIF(Mercado_Receita!$S$2:$S$508,"44774B1BrancaResidencialResidencialNão se aplicaNão se aplicaFora ponta",Mercado_Receita!$L$2:$L$508)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7"/>
      <c r="B17" s="86" t="s">
        <v>23</v>
      </c>
      <c r="C17" s="86" t="s">
        <v>24</v>
      </c>
      <c r="D17" s="12" t="s">
        <v>24</v>
      </c>
      <c r="E17" s="12" t="s">
        <v>25</v>
      </c>
      <c r="F17" s="12" t="s">
        <v>25</v>
      </c>
      <c r="G17" s="13" t="s">
        <v>79</v>
      </c>
      <c r="H17" s="13" t="s">
        <v>73</v>
      </c>
      <c r="I17" s="13">
        <f>SUMIF(Mercado_Receita!$S$2:$S$508,"44440B1ConvencionalResidencialResidencialNão se aplicaNão se aplicaPonta",Mercado_Receita!$L$2:$L$508)+SUMIF(Mercado_Receita!$S$2:$S$508,"44440B1ConvencionalResidencialResidencialNão se aplicaNão se aplicaFora ponta",Mercado_Receita!$L$2:$L$508)+SUMIF(Mercado_Receita!$S$2:$S$508,"44440B1ConvencionalResidencialResidencialNão se aplicaNão se aplicaIntermediário",Mercado_Receita!$L$2:$L$508)+SUMIF(Mercado_Receita!$S$2:$S$508,"44440B1ConvencionalResidencialResidencialNão se aplicaNão se aplicaNão se aplica",Mercado_Receita!$L$2:$L$508)</f>
        <v>545.86300000000006</v>
      </c>
      <c r="J17" s="13">
        <f>SUMIF(Mercado_Receita!$S$2:$S$508,"44470B1ConvencionalResidencialResidencialNão se aplicaNão se aplicaPonta",Mercado_Receita!$L$2:$L$508)+SUMIF(Mercado_Receita!$S$2:$S$508,"44470B1ConvencionalResidencialResidencialNão se aplicaNão se aplicaFora ponta",Mercado_Receita!$L$2:$L$508)+SUMIF(Mercado_Receita!$S$2:$S$508,"44470B1ConvencionalResidencialResidencialNão se aplicaNão se aplicaIntermediário",Mercado_Receita!$L$2:$L$508)+SUMIF(Mercado_Receita!$S$2:$S$508,"44470B1ConvencionalResidencialResidencialNão se aplicaNão se aplicaNão se aplica",Mercado_Receita!$L$2:$L$508)</f>
        <v>574.86200000000008</v>
      </c>
      <c r="K17" s="13">
        <f>SUMIF(Mercado_Receita!$S$2:$S$508,"44501B1ConvencionalResidencialResidencialNão se aplicaNão se aplicaPonta",Mercado_Receita!$L$2:$L$508)+SUMIF(Mercado_Receita!$S$2:$S$508,"44501B1ConvencionalResidencialResidencialNão se aplicaNão se aplicaFora ponta",Mercado_Receita!$L$2:$L$508)+SUMIF(Mercado_Receita!$S$2:$S$508,"44501B1ConvencionalResidencialResidencialNão se aplicaNão se aplicaIntermediário",Mercado_Receita!$L$2:$L$508)+SUMIF(Mercado_Receita!$S$2:$S$508,"44501B1ConvencionalResidencialResidencialNão se aplicaNão se aplicaNão se aplica",Mercado_Receita!$L$2:$L$508)</f>
        <v>567.48300000000006</v>
      </c>
      <c r="L17" s="13">
        <f>SUMIF(Mercado_Receita!$S$2:$S$508,"44531B1ConvencionalResidencialResidencialNão se aplicaNão se aplicaPonta",Mercado_Receita!$L$2:$L$508)+SUMIF(Mercado_Receita!$S$2:$S$508,"44531B1ConvencionalResidencialResidencialNão se aplicaNão se aplicaFora ponta",Mercado_Receita!$L$2:$L$508)+SUMIF(Mercado_Receita!$S$2:$S$508,"44531B1ConvencionalResidencialResidencialNão se aplicaNão se aplicaIntermediário",Mercado_Receita!$L$2:$L$508)+SUMIF(Mercado_Receita!$S$2:$S$508,"44531B1ConvencionalResidencialResidencialNão se aplicaNão se aplicaNão se aplica",Mercado_Receita!$L$2:$L$508)</f>
        <v>571.226</v>
      </c>
      <c r="M17" s="13">
        <f>SUMIF(Mercado_Receita!$S$2:$S$508,"44562B1ConvencionalResidencialResidencialNão se aplicaNão se aplicaPonta",Mercado_Receita!$L$2:$L$508)+SUMIF(Mercado_Receita!$S$2:$S$508,"44562B1ConvencionalResidencialResidencialNão se aplicaNão se aplicaFora ponta",Mercado_Receita!$L$2:$L$508)+SUMIF(Mercado_Receita!$S$2:$S$508,"44562B1ConvencionalResidencialResidencialNão se aplicaNão se aplicaIntermediário",Mercado_Receita!$L$2:$L$508)+SUMIF(Mercado_Receita!$S$2:$S$508,"44562B1ConvencionalResidencialResidencialNão se aplicaNão se aplicaNão se aplica",Mercado_Receita!$L$2:$L$508)</f>
        <v>592.38</v>
      </c>
      <c r="N17" s="13">
        <f>SUMIF(Mercado_Receita!$S$2:$S$508,"44593B1ConvencionalResidencialResidencialNão se aplicaNão se aplicaPonta",Mercado_Receita!$L$2:$L$508)+SUMIF(Mercado_Receita!$S$2:$S$508,"44593B1ConvencionalResidencialResidencialNão se aplicaNão se aplicaFora ponta",Mercado_Receita!$L$2:$L$508)+SUMIF(Mercado_Receita!$S$2:$S$508,"44593B1ConvencionalResidencialResidencialNão se aplicaNão se aplicaIntermediário",Mercado_Receita!$L$2:$L$508)+SUMIF(Mercado_Receita!$S$2:$S$508,"44593B1ConvencionalResidencialResidencialNão se aplicaNão se aplicaNão se aplica",Mercado_Receita!$L$2:$L$508)</f>
        <v>589.88</v>
      </c>
      <c r="O17" s="13">
        <f>SUMIF(Mercado_Receita!$S$2:$S$508,"44621B1ConvencionalResidencialResidencialNão se aplicaNão se aplicaPonta",Mercado_Receita!$L$2:$L$508)+SUMIF(Mercado_Receita!$S$2:$S$508,"44621B1ConvencionalResidencialResidencialNão se aplicaNão se aplicaFora ponta",Mercado_Receita!$L$2:$L$508)+SUMIF(Mercado_Receita!$S$2:$S$508,"44621B1ConvencionalResidencialResidencialNão se aplicaNão se aplicaIntermediário",Mercado_Receita!$L$2:$L$508)+SUMIF(Mercado_Receita!$S$2:$S$508,"44621B1ConvencionalResidencialResidencialNão se aplicaNão se aplicaNão se aplica",Mercado_Receita!$L$2:$L$508)</f>
        <v>591.18799999999999</v>
      </c>
      <c r="P17" s="13">
        <f>SUMIF(Mercado_Receita!$S$2:$S$508,"44652B1ConvencionalResidencialResidencialNão se aplicaNão se aplicaPonta",Mercado_Receita!$L$2:$L$508)+SUMIF(Mercado_Receita!$S$2:$S$508,"44652B1ConvencionalResidencialResidencialNão se aplicaNão se aplicaFora ponta",Mercado_Receita!$L$2:$L$508)+SUMIF(Mercado_Receita!$S$2:$S$508,"44652B1ConvencionalResidencialResidencialNão se aplicaNão se aplicaIntermediário",Mercado_Receita!$L$2:$L$508)+SUMIF(Mercado_Receita!$S$2:$S$508,"44652B1ConvencionalResidencialResidencialNão se aplicaNão se aplicaNão se aplica",Mercado_Receita!$L$2:$L$508)</f>
        <v>574.52700000000004</v>
      </c>
      <c r="Q17" s="13">
        <f>SUMIF(Mercado_Receita!$S$2:$S$508,"44682B1ConvencionalResidencialResidencialNão se aplicaNão se aplicaPonta",Mercado_Receita!$L$2:$L$508)+SUMIF(Mercado_Receita!$S$2:$S$508,"44682B1ConvencionalResidencialResidencialNão se aplicaNão se aplicaFora ponta",Mercado_Receita!$L$2:$L$508)+SUMIF(Mercado_Receita!$S$2:$S$508,"44682B1ConvencionalResidencialResidencialNão se aplicaNão se aplicaIntermediário",Mercado_Receita!$L$2:$L$508)+SUMIF(Mercado_Receita!$S$2:$S$508,"44682B1ConvencionalResidencialResidencialNão se aplicaNão se aplicaNão se aplica",Mercado_Receita!$L$2:$L$508)</f>
        <v>552.75800000000004</v>
      </c>
      <c r="R17" s="13">
        <f>SUMIF(Mercado_Receita!$S$2:$S$508,"44713B1ConvencionalResidencialResidencialNão se aplicaNão se aplicaPonta",Mercado_Receita!$L$2:$L$508)+SUMIF(Mercado_Receita!$S$2:$S$508,"44713B1ConvencionalResidencialResidencialNão se aplicaNão se aplicaFora ponta",Mercado_Receita!$L$2:$L$508)+SUMIF(Mercado_Receita!$S$2:$S$508,"44713B1ConvencionalResidencialResidencialNão se aplicaNão se aplicaIntermediário",Mercado_Receita!$L$2:$L$508)+SUMIF(Mercado_Receita!$S$2:$S$508,"44713B1ConvencionalResidencialResidencialNão se aplicaNão se aplicaNão se aplica",Mercado_Receita!$L$2:$L$508)</f>
        <v>525.24200000000008</v>
      </c>
      <c r="S17" s="13">
        <f>SUMIF(Mercado_Receita!$S$2:$S$508,"44743B1ConvencionalResidencialResidencialNão se aplicaNão se aplicaPonta",Mercado_Receita!$L$2:$L$508)+SUMIF(Mercado_Receita!$S$2:$S$508,"44743B1ConvencionalResidencialResidencialNão se aplicaNão se aplicaFora ponta",Mercado_Receita!$L$2:$L$508)+SUMIF(Mercado_Receita!$S$2:$S$508,"44743B1ConvencionalResidencialResidencialNão se aplicaNão se aplicaIntermediário",Mercado_Receita!$L$2:$L$508)+SUMIF(Mercado_Receita!$S$2:$S$508,"44743B1ConvencionalResidencialResidencialNão se aplicaNão se aplicaNão se aplica",Mercado_Receita!$L$2:$L$508)</f>
        <v>565.36599999999999</v>
      </c>
      <c r="T17" s="13">
        <f>SUMIF(Mercado_Receita!$S$2:$S$508,"44774B1ConvencionalResidencialResidencialNão se aplicaNão se aplicaPonta",Mercado_Receita!$L$2:$L$508)+SUMIF(Mercado_Receita!$S$2:$S$508,"44774B1ConvencionalResidencialResidencialNão se aplicaNão se aplicaFora ponta",Mercado_Receita!$L$2:$L$508)+SUMIF(Mercado_Receita!$S$2:$S$508,"44774B1ConvencionalResidencialResidencialNão se aplicaNão se aplicaIntermediário",Mercado_Receita!$L$2:$L$508)+SUMIF(Mercado_Receita!$S$2:$S$508,"44774B1ConvencionalResidencialResidencialNão se aplicaNão se aplicaNão se aplica",Mercado_Receita!$L$2:$L$508)</f>
        <v>588.57399999999996</v>
      </c>
      <c r="U17" s="13">
        <f t="shared" si="0"/>
        <v>6839.3490000000002</v>
      </c>
      <c r="V17" s="13"/>
      <c r="W17" s="13"/>
    </row>
    <row r="18" spans="1:23" ht="11.25" customHeight="1" x14ac:dyDescent="0.25">
      <c r="A18" s="87"/>
      <c r="B18" s="87"/>
      <c r="C18" s="87"/>
      <c r="D18" s="12" t="s">
        <v>29</v>
      </c>
      <c r="E18" s="12" t="s">
        <v>25</v>
      </c>
      <c r="F18" s="12" t="s">
        <v>25</v>
      </c>
      <c r="G18" s="13" t="s">
        <v>79</v>
      </c>
      <c r="H18" s="13" t="s">
        <v>73</v>
      </c>
      <c r="I18" s="13">
        <f>SUMIF(Mercado_Receita!$S$2:$S$508,"44440B1ConvencionalResidencialResidencial baixa renda – faixa 01Não se aplicaNão se aplicaPonta",Mercado_Receita!$L$2:$L$508)+SUMIF(Mercado_Receita!$S$2:$S$508,"44440B1ConvencionalResidencialResidencial baixa renda – faixa 01Não se aplicaNão se aplicaFora ponta",Mercado_Receita!$L$2:$L$508)+SUMIF(Mercado_Receita!$S$2:$S$508,"44440B1ConvencionalResidencialResidencial baixa renda – faixa 01Não se aplicaNão se aplicaIntermediário",Mercado_Receita!$L$2:$L$508)+SUMIF(Mercado_Receita!$S$2:$S$508,"44440B1ConvencionalResidencialResidencial baixa renda – faixa 01Não se aplicaNão se aplicaNão se aplica",Mercado_Receita!$L$2:$L$508)</f>
        <v>4.38</v>
      </c>
      <c r="J18" s="13">
        <f>SUMIF(Mercado_Receita!$S$2:$S$508,"44470B1ConvencionalResidencialResidencial baixa renda – faixa 01Não se aplicaNão se aplicaPonta",Mercado_Receita!$L$2:$L$508)+SUMIF(Mercado_Receita!$S$2:$S$508,"44470B1ConvencionalResidencialResidencial baixa renda – faixa 01Não se aplicaNão se aplicaFora ponta",Mercado_Receita!$L$2:$L$508)+SUMIF(Mercado_Receita!$S$2:$S$508,"44470B1ConvencionalResidencialResidencial baixa renda – faixa 01Não se aplicaNão se aplicaIntermediário",Mercado_Receita!$L$2:$L$508)+SUMIF(Mercado_Receita!$S$2:$S$508,"44470B1ConvencionalResidencialResidencial baixa renda – faixa 01Não se aplicaNão se aplicaNão se aplica",Mercado_Receita!$L$2:$L$508)</f>
        <v>4.47</v>
      </c>
      <c r="K18" s="13">
        <f>SUMIF(Mercado_Receita!$S$2:$S$508,"44501B1ConvencionalResidencialResidencial baixa renda – faixa 01Não se aplicaNão se aplicaPonta",Mercado_Receita!$L$2:$L$508)+SUMIF(Mercado_Receita!$S$2:$S$508,"44501B1ConvencionalResidencialResidencial baixa renda – faixa 01Não se aplicaNão se aplicaFora ponta",Mercado_Receita!$L$2:$L$508)+SUMIF(Mercado_Receita!$S$2:$S$508,"44501B1ConvencionalResidencialResidencial baixa renda – faixa 01Não se aplicaNão se aplicaIntermediário",Mercado_Receita!$L$2:$L$508)+SUMIF(Mercado_Receita!$S$2:$S$508,"44501B1ConvencionalResidencialResidencial baixa renda – faixa 01Não se aplicaNão se aplicaNão se aplica",Mercado_Receita!$L$2:$L$508)</f>
        <v>4.5599999999999996</v>
      </c>
      <c r="L18" s="13">
        <f>SUMIF(Mercado_Receita!$S$2:$S$508,"44531B1ConvencionalResidencialResidencial baixa renda – faixa 01Não se aplicaNão se aplicaPonta",Mercado_Receita!$L$2:$L$508)+SUMIF(Mercado_Receita!$S$2:$S$508,"44531B1ConvencionalResidencialResidencial baixa renda – faixa 01Não se aplicaNão se aplicaFora ponta",Mercado_Receita!$L$2:$L$508)+SUMIF(Mercado_Receita!$S$2:$S$508,"44531B1ConvencionalResidencialResidencial baixa renda – faixa 01Não se aplicaNão se aplicaIntermediário",Mercado_Receita!$L$2:$L$508)+SUMIF(Mercado_Receita!$S$2:$S$508,"44531B1ConvencionalResidencialResidencial baixa renda – faixa 01Não se aplicaNão se aplicaNão se aplica",Mercado_Receita!$L$2:$L$508)</f>
        <v>5.01</v>
      </c>
      <c r="M18" s="13">
        <f>SUMIF(Mercado_Receita!$S$2:$S$508,"44562B1ConvencionalResidencialResidencial baixa renda – faixa 01Não se aplicaNão se aplicaPonta",Mercado_Receita!$L$2:$L$508)+SUMIF(Mercado_Receita!$S$2:$S$508,"44562B1ConvencionalResidencialResidencial baixa renda – faixa 01Não se aplicaNão se aplicaFora ponta",Mercado_Receita!$L$2:$L$508)+SUMIF(Mercado_Receita!$S$2:$S$508,"44562B1ConvencionalResidencialResidencial baixa renda – faixa 01Não se aplicaNão se aplicaIntermediário",Mercado_Receita!$L$2:$L$508)+SUMIF(Mercado_Receita!$S$2:$S$508,"44562B1ConvencionalResidencialResidencial baixa renda – faixa 01Não se aplicaNão se aplicaNão se aplica",Mercado_Receita!$L$2:$L$508)</f>
        <v>4.8899999999999997</v>
      </c>
      <c r="N18" s="13">
        <f>SUMIF(Mercado_Receita!$S$2:$S$508,"44593B1ConvencionalResidencialResidencial baixa renda – faixa 01Não se aplicaNão se aplicaPonta",Mercado_Receita!$L$2:$L$508)+SUMIF(Mercado_Receita!$S$2:$S$508,"44593B1ConvencionalResidencialResidencial baixa renda – faixa 01Não se aplicaNão se aplicaFora ponta",Mercado_Receita!$L$2:$L$508)+SUMIF(Mercado_Receita!$S$2:$S$508,"44593B1ConvencionalResidencialResidencial baixa renda – faixa 01Não se aplicaNão se aplicaIntermediário",Mercado_Receita!$L$2:$L$508)+SUMIF(Mercado_Receita!$S$2:$S$508,"44593B1ConvencionalResidencialResidencial baixa renda – faixa 01Não se aplicaNão se aplicaNão se aplica",Mercado_Receita!$L$2:$L$508)</f>
        <v>5.58</v>
      </c>
      <c r="O18" s="13">
        <f>SUMIF(Mercado_Receita!$S$2:$S$508,"44621B1ConvencionalResidencialResidencial baixa renda – faixa 01Não se aplicaNão se aplicaPonta",Mercado_Receita!$L$2:$L$508)+SUMIF(Mercado_Receita!$S$2:$S$508,"44621B1ConvencionalResidencialResidencial baixa renda – faixa 01Não se aplicaNão se aplicaFora ponta",Mercado_Receita!$L$2:$L$508)+SUMIF(Mercado_Receita!$S$2:$S$508,"44621B1ConvencionalResidencialResidencial baixa renda – faixa 01Não se aplicaNão se aplicaIntermediário",Mercado_Receita!$L$2:$L$508)+SUMIF(Mercado_Receita!$S$2:$S$508,"44621B1ConvencionalResidencialResidencial baixa renda – faixa 01Não se aplicaNão se aplicaNão se aplica",Mercado_Receita!$L$2:$L$508)</f>
        <v>6.78</v>
      </c>
      <c r="P18" s="13">
        <f>SUMIF(Mercado_Receita!$S$2:$S$508,"44652B1ConvencionalResidencialResidencial baixa renda – faixa 01Não se aplicaNão se aplicaPonta",Mercado_Receita!$L$2:$L$508)+SUMIF(Mercado_Receita!$S$2:$S$508,"44652B1ConvencionalResidencialResidencial baixa renda – faixa 01Não se aplicaNão se aplicaFora ponta",Mercado_Receita!$L$2:$L$508)+SUMIF(Mercado_Receita!$S$2:$S$508,"44652B1ConvencionalResidencialResidencial baixa renda – faixa 01Não se aplicaNão se aplicaIntermediário",Mercado_Receita!$L$2:$L$508)+SUMIF(Mercado_Receita!$S$2:$S$508,"44652B1ConvencionalResidencialResidencial baixa renda – faixa 01Não se aplicaNão se aplicaNão se aplica",Mercado_Receita!$L$2:$L$508)</f>
        <v>6.99</v>
      </c>
      <c r="Q18" s="13">
        <f>SUMIF(Mercado_Receita!$S$2:$S$508,"44682B1ConvencionalResidencialResidencial baixa renda – faixa 01Não se aplicaNão se aplicaPonta",Mercado_Receita!$L$2:$L$508)+SUMIF(Mercado_Receita!$S$2:$S$508,"44682B1ConvencionalResidencialResidencial baixa renda – faixa 01Não se aplicaNão se aplicaFora ponta",Mercado_Receita!$L$2:$L$508)+SUMIF(Mercado_Receita!$S$2:$S$508,"44682B1ConvencionalResidencialResidencial baixa renda – faixa 01Não se aplicaNão se aplicaIntermediário",Mercado_Receita!$L$2:$L$508)+SUMIF(Mercado_Receita!$S$2:$S$508,"44682B1ConvencionalResidencialResidencial baixa renda – faixa 01Não se aplicaNão se aplicaNão se aplica",Mercado_Receita!$L$2:$L$508)</f>
        <v>7.17</v>
      </c>
      <c r="R18" s="13">
        <f>SUMIF(Mercado_Receita!$S$2:$S$508,"44713B1ConvencionalResidencialResidencial baixa renda – faixa 01Não se aplicaNão se aplicaPonta",Mercado_Receita!$L$2:$L$508)+SUMIF(Mercado_Receita!$S$2:$S$508,"44713B1ConvencionalResidencialResidencial baixa renda – faixa 01Não se aplicaNão se aplicaFora ponta",Mercado_Receita!$L$2:$L$508)+SUMIF(Mercado_Receita!$S$2:$S$508,"44713B1ConvencionalResidencialResidencial baixa renda – faixa 01Não se aplicaNão se aplicaIntermediário",Mercado_Receita!$L$2:$L$508)+SUMIF(Mercado_Receita!$S$2:$S$508,"44713B1ConvencionalResidencialResidencial baixa renda – faixa 01Não se aplicaNão se aplicaNão se aplica",Mercado_Receita!$L$2:$L$508)</f>
        <v>6.6</v>
      </c>
      <c r="S18" s="13">
        <f>SUMIF(Mercado_Receita!$S$2:$S$508,"44743B1ConvencionalResidencialResidencial baixa renda – faixa 01Não se aplicaNão se aplicaPonta",Mercado_Receita!$L$2:$L$508)+SUMIF(Mercado_Receita!$S$2:$S$508,"44743B1ConvencionalResidencialResidencial baixa renda – faixa 01Não se aplicaNão se aplicaFora ponta",Mercado_Receita!$L$2:$L$508)+SUMIF(Mercado_Receita!$S$2:$S$508,"44743B1ConvencionalResidencialResidencial baixa renda – faixa 01Não se aplicaNão se aplicaIntermediário",Mercado_Receita!$L$2:$L$508)+SUMIF(Mercado_Receita!$S$2:$S$508,"44743B1ConvencionalResidencialResidencial baixa renda – faixa 01Não se aplicaNão se aplicaNão se aplica",Mercado_Receita!$L$2:$L$508)</f>
        <v>6.66</v>
      </c>
      <c r="T18" s="13">
        <f>SUMIF(Mercado_Receita!$S$2:$S$508,"44774B1ConvencionalResidencialResidencial baixa renda – faixa 01Não se aplicaNão se aplicaPonta",Mercado_Receita!$L$2:$L$508)+SUMIF(Mercado_Receita!$S$2:$S$508,"44774B1ConvencionalResidencialResidencial baixa renda – faixa 01Não se aplicaNão se aplicaFora ponta",Mercado_Receita!$L$2:$L$508)+SUMIF(Mercado_Receita!$S$2:$S$508,"44774B1ConvencionalResidencialResidencial baixa renda – faixa 01Não se aplicaNão se aplicaIntermediário",Mercado_Receita!$L$2:$L$508)+SUMIF(Mercado_Receita!$S$2:$S$508,"44774B1ConvencionalResidencialResidencial baixa renda – faixa 01Não se aplicaNão se aplicaNão se aplica",Mercado_Receita!$L$2:$L$508)</f>
        <v>6.48</v>
      </c>
      <c r="U18" s="13">
        <f t="shared" si="0"/>
        <v>69.570000000000007</v>
      </c>
      <c r="V18" s="13"/>
      <c r="W18" s="13"/>
    </row>
    <row r="19" spans="1:23" ht="11.25" customHeight="1" x14ac:dyDescent="0.25">
      <c r="A19" s="87"/>
      <c r="B19" s="87"/>
      <c r="C19" s="87"/>
      <c r="D19" s="12" t="s">
        <v>30</v>
      </c>
      <c r="E19" s="12" t="s">
        <v>25</v>
      </c>
      <c r="F19" s="12" t="s">
        <v>25</v>
      </c>
      <c r="G19" s="13" t="s">
        <v>79</v>
      </c>
      <c r="H19" s="13" t="s">
        <v>73</v>
      </c>
      <c r="I19" s="13">
        <f>SUMIF(Mercado_Receita!$S$2:$S$508,"44440B1ConvencionalResidencialResidencial baixa renda – faixa 02Não se aplicaNão se aplicaPonta",Mercado_Receita!$L$2:$L$508)+SUMIF(Mercado_Receita!$S$2:$S$508,"44440B1ConvencionalResidencialResidencial baixa renda – faixa 02Não se aplicaNão se aplicaFora ponta",Mercado_Receita!$L$2:$L$508)+SUMIF(Mercado_Receita!$S$2:$S$508,"44440B1ConvencionalResidencialResidencial baixa renda – faixa 02Não se aplicaNão se aplicaIntermediário",Mercado_Receita!$L$2:$L$508)+SUMIF(Mercado_Receita!$S$2:$S$508,"44440B1ConvencionalResidencialResidencial baixa renda – faixa 02Não se aplicaNão se aplicaNão se aplica",Mercado_Receita!$L$2:$L$508)</f>
        <v>9.3810000000000002</v>
      </c>
      <c r="J19" s="13">
        <f>SUMIF(Mercado_Receita!$S$2:$S$508,"44470B1ConvencionalResidencialResidencial baixa renda – faixa 02Não se aplicaNão se aplicaPonta",Mercado_Receita!$L$2:$L$508)+SUMIF(Mercado_Receita!$S$2:$S$508,"44470B1ConvencionalResidencialResidencial baixa renda – faixa 02Não se aplicaNão se aplicaFora ponta",Mercado_Receita!$L$2:$L$508)+SUMIF(Mercado_Receita!$S$2:$S$508,"44470B1ConvencionalResidencialResidencial baixa renda – faixa 02Não se aplicaNão se aplicaIntermediário",Mercado_Receita!$L$2:$L$508)+SUMIF(Mercado_Receita!$S$2:$S$508,"44470B1ConvencionalResidencialResidencial baixa renda – faixa 02Não se aplicaNão se aplicaNão se aplica",Mercado_Receita!$L$2:$L$508)</f>
        <v>9.577</v>
      </c>
      <c r="K19" s="13">
        <f>SUMIF(Mercado_Receita!$S$2:$S$508,"44501B1ConvencionalResidencialResidencial baixa renda – faixa 02Não se aplicaNão se aplicaPonta",Mercado_Receita!$L$2:$L$508)+SUMIF(Mercado_Receita!$S$2:$S$508,"44501B1ConvencionalResidencialResidencial baixa renda – faixa 02Não se aplicaNão se aplicaFora ponta",Mercado_Receita!$L$2:$L$508)+SUMIF(Mercado_Receita!$S$2:$S$508,"44501B1ConvencionalResidencialResidencial baixa renda – faixa 02Não se aplicaNão se aplicaIntermediário",Mercado_Receita!$L$2:$L$508)+SUMIF(Mercado_Receita!$S$2:$S$508,"44501B1ConvencionalResidencialResidencial baixa renda – faixa 02Não se aplicaNão se aplicaNão se aplica",Mercado_Receita!$L$2:$L$508)</f>
        <v>9.8580000000000005</v>
      </c>
      <c r="L19" s="13">
        <f>SUMIF(Mercado_Receita!$S$2:$S$508,"44531B1ConvencionalResidencialResidencial baixa renda – faixa 02Não se aplicaNão se aplicaPonta",Mercado_Receita!$L$2:$L$508)+SUMIF(Mercado_Receita!$S$2:$S$508,"44531B1ConvencionalResidencialResidencial baixa renda – faixa 02Não se aplicaNão se aplicaFora ponta",Mercado_Receita!$L$2:$L$508)+SUMIF(Mercado_Receita!$S$2:$S$508,"44531B1ConvencionalResidencialResidencial baixa renda – faixa 02Não se aplicaNão se aplicaIntermediário",Mercado_Receita!$L$2:$L$508)+SUMIF(Mercado_Receita!$S$2:$S$508,"44531B1ConvencionalResidencialResidencial baixa renda – faixa 02Não se aplicaNão se aplicaNão se aplica",Mercado_Receita!$L$2:$L$508)</f>
        <v>11.009</v>
      </c>
      <c r="M19" s="13">
        <f>SUMIF(Mercado_Receita!$S$2:$S$508,"44562B1ConvencionalResidencialResidencial baixa renda – faixa 02Não se aplicaNão se aplicaPonta",Mercado_Receita!$L$2:$L$508)+SUMIF(Mercado_Receita!$S$2:$S$508,"44562B1ConvencionalResidencialResidencial baixa renda – faixa 02Não se aplicaNão se aplicaFora ponta",Mercado_Receita!$L$2:$L$508)+SUMIF(Mercado_Receita!$S$2:$S$508,"44562B1ConvencionalResidencialResidencial baixa renda – faixa 02Não se aplicaNão se aplicaIntermediário",Mercado_Receita!$L$2:$L$508)+SUMIF(Mercado_Receita!$S$2:$S$508,"44562B1ConvencionalResidencialResidencial baixa renda – faixa 02Não se aplicaNão se aplicaNão se aplica",Mercado_Receita!$L$2:$L$508)</f>
        <v>10.750999999999999</v>
      </c>
      <c r="N19" s="13">
        <f>SUMIF(Mercado_Receita!$S$2:$S$508,"44593B1ConvencionalResidencialResidencial baixa renda – faixa 02Não se aplicaNão se aplicaPonta",Mercado_Receita!$L$2:$L$508)+SUMIF(Mercado_Receita!$S$2:$S$508,"44593B1ConvencionalResidencialResidencial baixa renda – faixa 02Não se aplicaNão se aplicaFora ponta",Mercado_Receita!$L$2:$L$508)+SUMIF(Mercado_Receita!$S$2:$S$508,"44593B1ConvencionalResidencialResidencial baixa renda – faixa 02Não se aplicaNão se aplicaIntermediário",Mercado_Receita!$L$2:$L$508)+SUMIF(Mercado_Receita!$S$2:$S$508,"44593B1ConvencionalResidencialResidencial baixa renda – faixa 02Não se aplicaNão se aplicaNão se aplica",Mercado_Receita!$L$2:$L$508)</f>
        <v>12.329000000000001</v>
      </c>
      <c r="O19" s="13">
        <f>SUMIF(Mercado_Receita!$S$2:$S$508,"44621B1ConvencionalResidencialResidencial baixa renda – faixa 02Não se aplicaNão se aplicaPonta",Mercado_Receita!$L$2:$L$508)+SUMIF(Mercado_Receita!$S$2:$S$508,"44621B1ConvencionalResidencialResidencial baixa renda – faixa 02Não se aplicaNão se aplicaFora ponta",Mercado_Receita!$L$2:$L$508)+SUMIF(Mercado_Receita!$S$2:$S$508,"44621B1ConvencionalResidencialResidencial baixa renda – faixa 02Não se aplicaNão se aplicaIntermediário",Mercado_Receita!$L$2:$L$508)+SUMIF(Mercado_Receita!$S$2:$S$508,"44621B1ConvencionalResidencialResidencial baixa renda – faixa 02Não se aplicaNão se aplicaNão se aplica",Mercado_Receita!$L$2:$L$508)</f>
        <v>14.779</v>
      </c>
      <c r="P19" s="13">
        <f>SUMIF(Mercado_Receita!$S$2:$S$508,"44652B1ConvencionalResidencialResidencial baixa renda – faixa 02Não se aplicaNão se aplicaPonta",Mercado_Receita!$L$2:$L$508)+SUMIF(Mercado_Receita!$S$2:$S$508,"44652B1ConvencionalResidencialResidencial baixa renda – faixa 02Não se aplicaNão se aplicaFora ponta",Mercado_Receita!$L$2:$L$508)+SUMIF(Mercado_Receita!$S$2:$S$508,"44652B1ConvencionalResidencialResidencial baixa renda – faixa 02Não se aplicaNão se aplicaIntermediário",Mercado_Receita!$L$2:$L$508)+SUMIF(Mercado_Receita!$S$2:$S$508,"44652B1ConvencionalResidencialResidencial baixa renda – faixa 02Não se aplicaNão se aplicaNão se aplica",Mercado_Receita!$L$2:$L$508)</f>
        <v>15.113</v>
      </c>
      <c r="Q19" s="13">
        <f>SUMIF(Mercado_Receita!$S$2:$S$508,"44682B1ConvencionalResidencialResidencial baixa renda – faixa 02Não se aplicaNão se aplicaPonta",Mercado_Receita!$L$2:$L$508)+SUMIF(Mercado_Receita!$S$2:$S$508,"44682B1ConvencionalResidencialResidencial baixa renda – faixa 02Não se aplicaNão se aplicaFora ponta",Mercado_Receita!$L$2:$L$508)+SUMIF(Mercado_Receita!$S$2:$S$508,"44682B1ConvencionalResidencialResidencial baixa renda – faixa 02Não se aplicaNão se aplicaIntermediário",Mercado_Receita!$L$2:$L$508)+SUMIF(Mercado_Receita!$S$2:$S$508,"44682B1ConvencionalResidencialResidencial baixa renda – faixa 02Não se aplicaNão se aplicaNão se aplica",Mercado_Receita!$L$2:$L$508)</f>
        <v>15.212999999999999</v>
      </c>
      <c r="R19" s="13">
        <f>SUMIF(Mercado_Receita!$S$2:$S$508,"44713B1ConvencionalResidencialResidencial baixa renda – faixa 02Não se aplicaNão se aplicaPonta",Mercado_Receita!$L$2:$L$508)+SUMIF(Mercado_Receita!$S$2:$S$508,"44713B1ConvencionalResidencialResidencial baixa renda – faixa 02Não se aplicaNão se aplicaFora ponta",Mercado_Receita!$L$2:$L$508)+SUMIF(Mercado_Receita!$S$2:$S$508,"44713B1ConvencionalResidencialResidencial baixa renda – faixa 02Não se aplicaNão se aplicaIntermediário",Mercado_Receita!$L$2:$L$508)+SUMIF(Mercado_Receita!$S$2:$S$508,"44713B1ConvencionalResidencialResidencial baixa renda – faixa 02Não se aplicaNão se aplicaNão se aplica",Mercado_Receita!$L$2:$L$508)</f>
        <v>13.866</v>
      </c>
      <c r="S19" s="13">
        <f>SUMIF(Mercado_Receita!$S$2:$S$508,"44743B1ConvencionalResidencialResidencial baixa renda – faixa 02Não se aplicaNão se aplicaPonta",Mercado_Receita!$L$2:$L$508)+SUMIF(Mercado_Receita!$S$2:$S$508,"44743B1ConvencionalResidencialResidencial baixa renda – faixa 02Não se aplicaNão se aplicaFora ponta",Mercado_Receita!$L$2:$L$508)+SUMIF(Mercado_Receita!$S$2:$S$508,"44743B1ConvencionalResidencialResidencial baixa renda – faixa 02Não se aplicaNão se aplicaIntermediário",Mercado_Receita!$L$2:$L$508)+SUMIF(Mercado_Receita!$S$2:$S$508,"44743B1ConvencionalResidencialResidencial baixa renda – faixa 02Não se aplicaNão se aplicaNão se aplica",Mercado_Receita!$L$2:$L$508)</f>
        <v>13.898999999999999</v>
      </c>
      <c r="T19" s="13">
        <f>SUMIF(Mercado_Receita!$S$2:$S$508,"44774B1ConvencionalResidencialResidencial baixa renda – faixa 02Não se aplicaNão se aplicaPonta",Mercado_Receita!$L$2:$L$508)+SUMIF(Mercado_Receita!$S$2:$S$508,"44774B1ConvencionalResidencialResidencial baixa renda – faixa 02Não se aplicaNão se aplicaFora ponta",Mercado_Receita!$L$2:$L$508)+SUMIF(Mercado_Receita!$S$2:$S$508,"44774B1ConvencionalResidencialResidencial baixa renda – faixa 02Não se aplicaNão se aplicaIntermediário",Mercado_Receita!$L$2:$L$508)+SUMIF(Mercado_Receita!$S$2:$S$508,"44774B1ConvencionalResidencialResidencial baixa renda – faixa 02Não se aplicaNão se aplicaNão se aplica",Mercado_Receita!$L$2:$L$508)</f>
        <v>13.744999999999999</v>
      </c>
      <c r="U19" s="13">
        <f t="shared" si="0"/>
        <v>149.51999999999998</v>
      </c>
      <c r="V19" s="13"/>
      <c r="W19" s="13"/>
    </row>
    <row r="20" spans="1:23" ht="11.25" customHeight="1" x14ac:dyDescent="0.25">
      <c r="A20" s="87"/>
      <c r="B20" s="87"/>
      <c r="C20" s="87"/>
      <c r="D20" s="12" t="s">
        <v>31</v>
      </c>
      <c r="E20" s="12" t="s">
        <v>25</v>
      </c>
      <c r="F20" s="12" t="s">
        <v>25</v>
      </c>
      <c r="G20" s="13" t="s">
        <v>79</v>
      </c>
      <c r="H20" s="13" t="s">
        <v>73</v>
      </c>
      <c r="I20" s="13">
        <f>SUMIF(Mercado_Receita!$S$2:$S$508,"44440B1ConvencionalResidencialResidencial baixa renda – faixa 03Não se aplicaNão se aplicaPonta",Mercado_Receita!$L$2:$L$508)+SUMIF(Mercado_Receita!$S$2:$S$508,"44440B1ConvencionalResidencialResidencial baixa renda – faixa 03Não se aplicaNão se aplicaFora ponta",Mercado_Receita!$L$2:$L$508)+SUMIF(Mercado_Receita!$S$2:$S$508,"44440B1ConvencionalResidencialResidencial baixa renda – faixa 03Não se aplicaNão se aplicaIntermediário",Mercado_Receita!$L$2:$L$508)+SUMIF(Mercado_Receita!$S$2:$S$508,"44440B1ConvencionalResidencialResidencial baixa renda – faixa 03Não se aplicaNão se aplicaNão se aplica",Mercado_Receita!$L$2:$L$508)</f>
        <v>8.6289999999999996</v>
      </c>
      <c r="J20" s="13">
        <f>SUMIF(Mercado_Receita!$S$2:$S$508,"44470B1ConvencionalResidencialResidencial baixa renda – faixa 03Não se aplicaNão se aplicaPonta",Mercado_Receita!$L$2:$L$508)+SUMIF(Mercado_Receita!$S$2:$S$508,"44470B1ConvencionalResidencialResidencial baixa renda – faixa 03Não se aplicaNão se aplicaFora ponta",Mercado_Receita!$L$2:$L$508)+SUMIF(Mercado_Receita!$S$2:$S$508,"44470B1ConvencionalResidencialResidencial baixa renda – faixa 03Não se aplicaNão se aplicaIntermediário",Mercado_Receita!$L$2:$L$508)+SUMIF(Mercado_Receita!$S$2:$S$508,"44470B1ConvencionalResidencialResidencial baixa renda – faixa 03Não se aplicaNão se aplicaNão se aplica",Mercado_Receita!$L$2:$L$508)</f>
        <v>9.2449999999999992</v>
      </c>
      <c r="K20" s="13">
        <f>SUMIF(Mercado_Receita!$S$2:$S$508,"44501B1ConvencionalResidencialResidencial baixa renda – faixa 03Não se aplicaNão se aplicaPonta",Mercado_Receita!$L$2:$L$508)+SUMIF(Mercado_Receita!$S$2:$S$508,"44501B1ConvencionalResidencialResidencial baixa renda – faixa 03Não se aplicaNão se aplicaFora ponta",Mercado_Receita!$L$2:$L$508)+SUMIF(Mercado_Receita!$S$2:$S$508,"44501B1ConvencionalResidencialResidencial baixa renda – faixa 03Não se aplicaNão se aplicaIntermediário",Mercado_Receita!$L$2:$L$508)+SUMIF(Mercado_Receita!$S$2:$S$508,"44501B1ConvencionalResidencialResidencial baixa renda – faixa 03Não se aplicaNão se aplicaNão se aplica",Mercado_Receita!$L$2:$L$508)</f>
        <v>8.7720000000000002</v>
      </c>
      <c r="L20" s="13">
        <f>SUMIF(Mercado_Receita!$S$2:$S$508,"44531B1ConvencionalResidencialResidencial baixa renda – faixa 03Não se aplicaNão se aplicaPonta",Mercado_Receita!$L$2:$L$508)+SUMIF(Mercado_Receita!$S$2:$S$508,"44531B1ConvencionalResidencialResidencial baixa renda – faixa 03Não se aplicaNão se aplicaFora ponta",Mercado_Receita!$L$2:$L$508)+SUMIF(Mercado_Receita!$S$2:$S$508,"44531B1ConvencionalResidencialResidencial baixa renda – faixa 03Não se aplicaNão se aplicaIntermediário",Mercado_Receita!$L$2:$L$508)+SUMIF(Mercado_Receita!$S$2:$S$508,"44531B1ConvencionalResidencialResidencial baixa renda – faixa 03Não se aplicaNão se aplicaNão se aplica",Mercado_Receita!$L$2:$L$508)</f>
        <v>11.242000000000001</v>
      </c>
      <c r="M20" s="13">
        <f>SUMIF(Mercado_Receita!$S$2:$S$508,"44562B1ConvencionalResidencialResidencial baixa renda – faixa 03Não se aplicaNão se aplicaPonta",Mercado_Receita!$L$2:$L$508)+SUMIF(Mercado_Receita!$S$2:$S$508,"44562B1ConvencionalResidencialResidencial baixa renda – faixa 03Não se aplicaNão se aplicaFora ponta",Mercado_Receita!$L$2:$L$508)+SUMIF(Mercado_Receita!$S$2:$S$508,"44562B1ConvencionalResidencialResidencial baixa renda – faixa 03Não se aplicaNão se aplicaIntermediário",Mercado_Receita!$L$2:$L$508)+SUMIF(Mercado_Receita!$S$2:$S$508,"44562B1ConvencionalResidencialResidencial baixa renda – faixa 03Não se aplicaNão se aplicaNão se aplica",Mercado_Receita!$L$2:$L$508)</f>
        <v>10.476000000000001</v>
      </c>
      <c r="N20" s="13">
        <f>SUMIF(Mercado_Receita!$S$2:$S$508,"44593B1ConvencionalResidencialResidencial baixa renda – faixa 03Não se aplicaNão se aplicaPonta",Mercado_Receita!$L$2:$L$508)+SUMIF(Mercado_Receita!$S$2:$S$508,"44593B1ConvencionalResidencialResidencial baixa renda – faixa 03Não se aplicaNão se aplicaFora ponta",Mercado_Receita!$L$2:$L$508)+SUMIF(Mercado_Receita!$S$2:$S$508,"44593B1ConvencionalResidencialResidencial baixa renda – faixa 03Não se aplicaNão se aplicaIntermediário",Mercado_Receita!$L$2:$L$508)+SUMIF(Mercado_Receita!$S$2:$S$508,"44593B1ConvencionalResidencialResidencial baixa renda – faixa 03Não se aplicaNão se aplicaNão se aplica",Mercado_Receita!$L$2:$L$508)</f>
        <v>11.867000000000001</v>
      </c>
      <c r="O20" s="13">
        <f>SUMIF(Mercado_Receita!$S$2:$S$508,"44621B1ConvencionalResidencialResidencial baixa renda – faixa 03Não se aplicaNão se aplicaPonta",Mercado_Receita!$L$2:$L$508)+SUMIF(Mercado_Receita!$S$2:$S$508,"44621B1ConvencionalResidencialResidencial baixa renda – faixa 03Não se aplicaNão se aplicaFora ponta",Mercado_Receita!$L$2:$L$508)+SUMIF(Mercado_Receita!$S$2:$S$508,"44621B1ConvencionalResidencialResidencial baixa renda – faixa 03Não se aplicaNão se aplicaIntermediário",Mercado_Receita!$L$2:$L$508)+SUMIF(Mercado_Receita!$S$2:$S$508,"44621B1ConvencionalResidencialResidencial baixa renda – faixa 03Não se aplicaNão se aplicaNão se aplica",Mercado_Receita!$L$2:$L$508)</f>
        <v>14.621</v>
      </c>
      <c r="P20" s="13">
        <f>SUMIF(Mercado_Receita!$S$2:$S$508,"44652B1ConvencionalResidencialResidencial baixa renda – faixa 03Não se aplicaNão se aplicaPonta",Mercado_Receita!$L$2:$L$508)+SUMIF(Mercado_Receita!$S$2:$S$508,"44652B1ConvencionalResidencialResidencial baixa renda – faixa 03Não se aplicaNão se aplicaFora ponta",Mercado_Receita!$L$2:$L$508)+SUMIF(Mercado_Receita!$S$2:$S$508,"44652B1ConvencionalResidencialResidencial baixa renda – faixa 03Não se aplicaNão se aplicaIntermediário",Mercado_Receita!$L$2:$L$508)+SUMIF(Mercado_Receita!$S$2:$S$508,"44652B1ConvencionalResidencialResidencial baixa renda – faixa 03Não se aplicaNão se aplicaNão se aplica",Mercado_Receita!$L$2:$L$508)</f>
        <v>13.91</v>
      </c>
      <c r="Q20" s="13">
        <f>SUMIF(Mercado_Receita!$S$2:$S$508,"44682B1ConvencionalResidencialResidencial baixa renda – faixa 03Não se aplicaNão se aplicaPonta",Mercado_Receita!$L$2:$L$508)+SUMIF(Mercado_Receita!$S$2:$S$508,"44682B1ConvencionalResidencialResidencial baixa renda – faixa 03Não se aplicaNão se aplicaFora ponta",Mercado_Receita!$L$2:$L$508)+SUMIF(Mercado_Receita!$S$2:$S$508,"44682B1ConvencionalResidencialResidencial baixa renda – faixa 03Não se aplicaNão se aplicaIntermediário",Mercado_Receita!$L$2:$L$508)+SUMIF(Mercado_Receita!$S$2:$S$508,"44682B1ConvencionalResidencialResidencial baixa renda – faixa 03Não se aplicaNão se aplicaNão se aplica",Mercado_Receita!$L$2:$L$508)</f>
        <v>13.505000000000001</v>
      </c>
      <c r="R20" s="13">
        <f>SUMIF(Mercado_Receita!$S$2:$S$508,"44713B1ConvencionalResidencialResidencial baixa renda – faixa 03Não se aplicaNão se aplicaPonta",Mercado_Receita!$L$2:$L$508)+SUMIF(Mercado_Receita!$S$2:$S$508,"44713B1ConvencionalResidencialResidencial baixa renda – faixa 03Não se aplicaNão se aplicaFora ponta",Mercado_Receita!$L$2:$L$508)+SUMIF(Mercado_Receita!$S$2:$S$508,"44713B1ConvencionalResidencialResidencial baixa renda – faixa 03Não se aplicaNão se aplicaIntermediário",Mercado_Receita!$L$2:$L$508)+SUMIF(Mercado_Receita!$S$2:$S$508,"44713B1ConvencionalResidencialResidencial baixa renda – faixa 03Não se aplicaNão se aplicaNão se aplica",Mercado_Receita!$L$2:$L$508)</f>
        <v>10.781000000000001</v>
      </c>
      <c r="S20" s="13">
        <f>SUMIF(Mercado_Receita!$S$2:$S$508,"44743B1ConvencionalResidencialResidencial baixa renda – faixa 03Não se aplicaNão se aplicaPonta",Mercado_Receita!$L$2:$L$508)+SUMIF(Mercado_Receita!$S$2:$S$508,"44743B1ConvencionalResidencialResidencial baixa renda – faixa 03Não se aplicaNão se aplicaFora ponta",Mercado_Receita!$L$2:$L$508)+SUMIF(Mercado_Receita!$S$2:$S$508,"44743B1ConvencionalResidencialResidencial baixa renda – faixa 03Não se aplicaNão se aplicaIntermediário",Mercado_Receita!$L$2:$L$508)+SUMIF(Mercado_Receita!$S$2:$S$508,"44743B1ConvencionalResidencialResidencial baixa renda – faixa 03Não se aplicaNão se aplicaNão se aplica",Mercado_Receita!$L$2:$L$508)</f>
        <v>10.792</v>
      </c>
      <c r="T20" s="13">
        <f>SUMIF(Mercado_Receita!$S$2:$S$508,"44774B1ConvencionalResidencialResidencial baixa renda – faixa 03Não se aplicaNão se aplicaPonta",Mercado_Receita!$L$2:$L$508)+SUMIF(Mercado_Receita!$S$2:$S$508,"44774B1ConvencionalResidencialResidencial baixa renda – faixa 03Não se aplicaNão se aplicaFora ponta",Mercado_Receita!$L$2:$L$508)+SUMIF(Mercado_Receita!$S$2:$S$508,"44774B1ConvencionalResidencialResidencial baixa renda – faixa 03Não se aplicaNão se aplicaIntermediário",Mercado_Receita!$L$2:$L$508)+SUMIF(Mercado_Receita!$S$2:$S$508,"44774B1ConvencionalResidencialResidencial baixa renda – faixa 03Não se aplicaNão se aplicaNão se aplica",Mercado_Receita!$L$2:$L$508)</f>
        <v>10.227</v>
      </c>
      <c r="U20" s="13">
        <f t="shared" si="0"/>
        <v>134.06700000000001</v>
      </c>
      <c r="V20" s="13"/>
      <c r="W20" s="13"/>
    </row>
    <row r="21" spans="1:23" ht="11.25" customHeight="1" x14ac:dyDescent="0.25">
      <c r="A21" s="87"/>
      <c r="B21" s="87"/>
      <c r="C21" s="87"/>
      <c r="D21" s="12" t="s">
        <v>32</v>
      </c>
      <c r="E21" s="12" t="s">
        <v>25</v>
      </c>
      <c r="F21" s="12" t="s">
        <v>25</v>
      </c>
      <c r="G21" s="13" t="s">
        <v>79</v>
      </c>
      <c r="H21" s="13" t="s">
        <v>73</v>
      </c>
      <c r="I21" s="13">
        <f>SUMIF(Mercado_Receita!$S$2:$S$508,"44440B1ConvencionalResidencialResidencial baixa renda – faixa 04Não se aplicaNão se aplicaPonta",Mercado_Receita!$L$2:$L$508)+SUMIF(Mercado_Receita!$S$2:$S$508,"44440B1ConvencionalResidencialResidencial baixa renda – faixa 04Não se aplicaNão se aplicaFora ponta",Mercado_Receita!$L$2:$L$508)+SUMIF(Mercado_Receita!$S$2:$S$508,"44440B1ConvencionalResidencialResidencial baixa renda – faixa 04Não se aplicaNão se aplicaIntermediário",Mercado_Receita!$L$2:$L$508)+SUMIF(Mercado_Receita!$S$2:$S$508,"44440B1ConvencionalResidencialResidencial baixa renda – faixa 04Não se aplicaNão se aplicaNão se aplica",Mercado_Receita!$L$2:$L$508)</f>
        <v>2.3250000000000002</v>
      </c>
      <c r="J21" s="13">
        <f>SUMIF(Mercado_Receita!$S$2:$S$508,"44470B1ConvencionalResidencialResidencial baixa renda – faixa 04Não se aplicaNão se aplicaPonta",Mercado_Receita!$L$2:$L$508)+SUMIF(Mercado_Receita!$S$2:$S$508,"44470B1ConvencionalResidencialResidencial baixa renda – faixa 04Não se aplicaNão se aplicaFora ponta",Mercado_Receita!$L$2:$L$508)+SUMIF(Mercado_Receita!$S$2:$S$508,"44470B1ConvencionalResidencialResidencial baixa renda – faixa 04Não se aplicaNão se aplicaIntermediário",Mercado_Receita!$L$2:$L$508)+SUMIF(Mercado_Receita!$S$2:$S$508,"44470B1ConvencionalResidencialResidencial baixa renda – faixa 04Não se aplicaNão se aplicaNão se aplica",Mercado_Receita!$L$2:$L$508)</f>
        <v>3.0830000000000002</v>
      </c>
      <c r="K21" s="13">
        <f>SUMIF(Mercado_Receita!$S$2:$S$508,"44501B1ConvencionalResidencialResidencial baixa renda – faixa 04Não se aplicaNão se aplicaPonta",Mercado_Receita!$L$2:$L$508)+SUMIF(Mercado_Receita!$S$2:$S$508,"44501B1ConvencionalResidencialResidencial baixa renda – faixa 04Não se aplicaNão se aplicaFora ponta",Mercado_Receita!$L$2:$L$508)+SUMIF(Mercado_Receita!$S$2:$S$508,"44501B1ConvencionalResidencialResidencial baixa renda – faixa 04Não se aplicaNão se aplicaIntermediário",Mercado_Receita!$L$2:$L$508)+SUMIF(Mercado_Receita!$S$2:$S$508,"44501B1ConvencionalResidencialResidencial baixa renda – faixa 04Não se aplicaNão se aplicaNão se aplica",Mercado_Receita!$L$2:$L$508)</f>
        <v>2.3530000000000002</v>
      </c>
      <c r="L21" s="13">
        <f>SUMIF(Mercado_Receita!$S$2:$S$508,"44531B1ConvencionalResidencialResidencial baixa renda – faixa 04Não se aplicaNão se aplicaPonta",Mercado_Receita!$L$2:$L$508)+SUMIF(Mercado_Receita!$S$2:$S$508,"44531B1ConvencionalResidencialResidencial baixa renda – faixa 04Não se aplicaNão se aplicaFora ponta",Mercado_Receita!$L$2:$L$508)+SUMIF(Mercado_Receita!$S$2:$S$508,"44531B1ConvencionalResidencialResidencial baixa renda – faixa 04Não se aplicaNão se aplicaIntermediário",Mercado_Receita!$L$2:$L$508)+SUMIF(Mercado_Receita!$S$2:$S$508,"44531B1ConvencionalResidencialResidencial baixa renda – faixa 04Não se aplicaNão se aplicaNão se aplica",Mercado_Receita!$L$2:$L$508)</f>
        <v>3.536</v>
      </c>
      <c r="M21" s="13">
        <f>SUMIF(Mercado_Receita!$S$2:$S$508,"44562B1ConvencionalResidencialResidencial baixa renda – faixa 04Não se aplicaNão se aplicaPonta",Mercado_Receita!$L$2:$L$508)+SUMIF(Mercado_Receita!$S$2:$S$508,"44562B1ConvencionalResidencialResidencial baixa renda – faixa 04Não se aplicaNão se aplicaFora ponta",Mercado_Receita!$L$2:$L$508)+SUMIF(Mercado_Receita!$S$2:$S$508,"44562B1ConvencionalResidencialResidencial baixa renda – faixa 04Não se aplicaNão se aplicaIntermediário",Mercado_Receita!$L$2:$L$508)+SUMIF(Mercado_Receita!$S$2:$S$508,"44562B1ConvencionalResidencialResidencial baixa renda – faixa 04Não se aplicaNão se aplicaNão se aplica",Mercado_Receita!$L$2:$L$508)</f>
        <v>3.3959999999999999</v>
      </c>
      <c r="N21" s="13">
        <f>SUMIF(Mercado_Receita!$S$2:$S$508,"44593B1ConvencionalResidencialResidencial baixa renda – faixa 04Não se aplicaNão se aplicaPonta",Mercado_Receita!$L$2:$L$508)+SUMIF(Mercado_Receita!$S$2:$S$508,"44593B1ConvencionalResidencialResidencial baixa renda – faixa 04Não se aplicaNão se aplicaFora ponta",Mercado_Receita!$L$2:$L$508)+SUMIF(Mercado_Receita!$S$2:$S$508,"44593B1ConvencionalResidencialResidencial baixa renda – faixa 04Não se aplicaNão se aplicaIntermediário",Mercado_Receita!$L$2:$L$508)+SUMIF(Mercado_Receita!$S$2:$S$508,"44593B1ConvencionalResidencialResidencial baixa renda – faixa 04Não se aplicaNão se aplicaNão se aplica",Mercado_Receita!$L$2:$L$508)</f>
        <v>3.423</v>
      </c>
      <c r="O21" s="13">
        <f>SUMIF(Mercado_Receita!$S$2:$S$508,"44621B1ConvencionalResidencialResidencial baixa renda – faixa 04Não se aplicaNão se aplicaPonta",Mercado_Receita!$L$2:$L$508)+SUMIF(Mercado_Receita!$S$2:$S$508,"44621B1ConvencionalResidencialResidencial baixa renda – faixa 04Não se aplicaNão se aplicaFora ponta",Mercado_Receita!$L$2:$L$508)+SUMIF(Mercado_Receita!$S$2:$S$508,"44621B1ConvencionalResidencialResidencial baixa renda – faixa 04Não se aplicaNão se aplicaIntermediário",Mercado_Receita!$L$2:$L$508)+SUMIF(Mercado_Receita!$S$2:$S$508,"44621B1ConvencionalResidencialResidencial baixa renda – faixa 04Não se aplicaNão se aplicaNão se aplica",Mercado_Receita!$L$2:$L$508)</f>
        <v>4.8380000000000001</v>
      </c>
      <c r="P21" s="13">
        <f>SUMIF(Mercado_Receita!$S$2:$S$508,"44652B1ConvencionalResidencialResidencial baixa renda – faixa 04Não se aplicaNão se aplicaPonta",Mercado_Receita!$L$2:$L$508)+SUMIF(Mercado_Receita!$S$2:$S$508,"44652B1ConvencionalResidencialResidencial baixa renda – faixa 04Não se aplicaNão se aplicaFora ponta",Mercado_Receita!$L$2:$L$508)+SUMIF(Mercado_Receita!$S$2:$S$508,"44652B1ConvencionalResidencialResidencial baixa renda – faixa 04Não se aplicaNão se aplicaIntermediário",Mercado_Receita!$L$2:$L$508)+SUMIF(Mercado_Receita!$S$2:$S$508,"44652B1ConvencionalResidencialResidencial baixa renda – faixa 04Não se aplicaNão se aplicaNão se aplica",Mercado_Receita!$L$2:$L$508)</f>
        <v>4.3819999999999997</v>
      </c>
      <c r="Q21" s="13">
        <f>SUMIF(Mercado_Receita!$S$2:$S$508,"44682B1ConvencionalResidencialResidencial baixa renda – faixa 04Não se aplicaNão se aplicaPonta",Mercado_Receita!$L$2:$L$508)+SUMIF(Mercado_Receita!$S$2:$S$508,"44682B1ConvencionalResidencialResidencial baixa renda – faixa 04Não se aplicaNão se aplicaFora ponta",Mercado_Receita!$L$2:$L$508)+SUMIF(Mercado_Receita!$S$2:$S$508,"44682B1ConvencionalResidencialResidencial baixa renda – faixa 04Não se aplicaNão se aplicaIntermediário",Mercado_Receita!$L$2:$L$508)+SUMIF(Mercado_Receita!$S$2:$S$508,"44682B1ConvencionalResidencialResidencial baixa renda – faixa 04Não se aplicaNão se aplicaNão se aplica",Mercado_Receita!$L$2:$L$508)</f>
        <v>2.6850000000000001</v>
      </c>
      <c r="R21" s="13">
        <f>SUMIF(Mercado_Receita!$S$2:$S$508,"44713B1ConvencionalResidencialResidencial baixa renda – faixa 04Não se aplicaNão se aplicaPonta",Mercado_Receita!$L$2:$L$508)+SUMIF(Mercado_Receita!$S$2:$S$508,"44713B1ConvencionalResidencialResidencial baixa renda – faixa 04Não se aplicaNão se aplicaFora ponta",Mercado_Receita!$L$2:$L$508)+SUMIF(Mercado_Receita!$S$2:$S$508,"44713B1ConvencionalResidencialResidencial baixa renda – faixa 04Não se aplicaNão se aplicaIntermediário",Mercado_Receita!$L$2:$L$508)+SUMIF(Mercado_Receita!$S$2:$S$508,"44713B1ConvencionalResidencialResidencial baixa renda – faixa 04Não se aplicaNão se aplicaNão se aplica",Mercado_Receita!$L$2:$L$508)</f>
        <v>1.996</v>
      </c>
      <c r="S21" s="13">
        <f>SUMIF(Mercado_Receita!$S$2:$S$508,"44743B1ConvencionalResidencialResidencial baixa renda – faixa 04Não se aplicaNão se aplicaPonta",Mercado_Receita!$L$2:$L$508)+SUMIF(Mercado_Receita!$S$2:$S$508,"44743B1ConvencionalResidencialResidencial baixa renda – faixa 04Não se aplicaNão se aplicaFora ponta",Mercado_Receita!$L$2:$L$508)+SUMIF(Mercado_Receita!$S$2:$S$508,"44743B1ConvencionalResidencialResidencial baixa renda – faixa 04Não se aplicaNão se aplicaIntermediário",Mercado_Receita!$L$2:$L$508)+SUMIF(Mercado_Receita!$S$2:$S$508,"44743B1ConvencionalResidencialResidencial baixa renda – faixa 04Não se aplicaNão se aplicaNão se aplica",Mercado_Receita!$L$2:$L$508)</f>
        <v>2.0640000000000001</v>
      </c>
      <c r="T21" s="13">
        <f>SUMIF(Mercado_Receita!$S$2:$S$508,"44774B1ConvencionalResidencialResidencial baixa renda – faixa 04Não se aplicaNão se aplicaPonta",Mercado_Receita!$L$2:$L$508)+SUMIF(Mercado_Receita!$S$2:$S$508,"44774B1ConvencionalResidencialResidencial baixa renda – faixa 04Não se aplicaNão se aplicaFora ponta",Mercado_Receita!$L$2:$L$508)+SUMIF(Mercado_Receita!$S$2:$S$508,"44774B1ConvencionalResidencialResidencial baixa renda – faixa 04Não se aplicaNão se aplicaIntermediário",Mercado_Receita!$L$2:$L$508)+SUMIF(Mercado_Receita!$S$2:$S$508,"44774B1ConvencionalResidencialResidencial baixa renda – faixa 04Não se aplicaNão se aplicaNão se aplica",Mercado_Receita!$L$2:$L$508)</f>
        <v>2.57</v>
      </c>
      <c r="U21" s="13">
        <f t="shared" si="0"/>
        <v>36.650999999999996</v>
      </c>
      <c r="V21" s="13"/>
      <c r="W21" s="13"/>
    </row>
    <row r="22" spans="1:23" ht="11.25" customHeight="1" x14ac:dyDescent="0.25">
      <c r="A22" s="87"/>
      <c r="B22" s="86" t="s">
        <v>89</v>
      </c>
      <c r="C22" s="86" t="s">
        <v>24</v>
      </c>
      <c r="D22" s="12" t="s">
        <v>24</v>
      </c>
      <c r="E22" s="12" t="s">
        <v>25</v>
      </c>
      <c r="F22" s="12" t="s">
        <v>25</v>
      </c>
      <c r="G22" s="13" t="s">
        <v>79</v>
      </c>
      <c r="H22" s="13" t="s">
        <v>73</v>
      </c>
      <c r="I22" s="13">
        <f>SUMIF(Mercado_Receita!$S$2:$S$508,"44440B1Convencional pré-pagamentoResidencialResidencialNão se aplicaNão se aplicaPonta",Mercado_Receita!$L$2:$L$508)+SUMIF(Mercado_Receita!$S$2:$S$508,"44440B1Convencional pré-pagamentoResidencialResidencialNão se aplicaNão se aplicaFora ponta",Mercado_Receita!$L$2:$L$508)+SUMIF(Mercado_Receita!$S$2:$S$508,"44440B1Convencional pré-pagamentoResidencialResidencialNão se aplicaNão se aplicaIntermediário",Mercado_Receita!$L$2:$L$508)+SUMIF(Mercado_Receita!$S$2:$S$508,"44440B1Convencional pré-pagamentoResidencialResidencialNão se aplicaNão se aplicaNão se aplica",Mercado_Receita!$L$2:$L$508)</f>
        <v>0</v>
      </c>
      <c r="J22" s="13">
        <f>SUMIF(Mercado_Receita!$S$2:$S$508,"44470B1Convencional pré-pagamentoResidencialResidencialNão se aplicaNão se aplicaPonta",Mercado_Receita!$L$2:$L$508)+SUMIF(Mercado_Receita!$S$2:$S$508,"44470B1Convencional pré-pagamentoResidencialResidencialNão se aplicaNão se aplicaFora ponta",Mercado_Receita!$L$2:$L$508)+SUMIF(Mercado_Receita!$S$2:$S$508,"44470B1Convencional pré-pagamentoResidencialResidencialNão se aplicaNão se aplicaIntermediário",Mercado_Receita!$L$2:$L$508)+SUMIF(Mercado_Receita!$S$2:$S$508,"44470B1Convencional pré-pagamentoResidencialResidencialNão se aplicaNão se aplicaNão se aplica",Mercado_Receita!$L$2:$L$508)</f>
        <v>0</v>
      </c>
      <c r="K22" s="13">
        <f>SUMIF(Mercado_Receita!$S$2:$S$508,"44501B1Convencional pré-pagamentoResidencialResidencialNão se aplicaNão se aplicaPonta",Mercado_Receita!$L$2:$L$508)+SUMIF(Mercado_Receita!$S$2:$S$508,"44501B1Convencional pré-pagamentoResidencialResidencialNão se aplicaNão se aplicaFora ponta",Mercado_Receita!$L$2:$L$508)+SUMIF(Mercado_Receita!$S$2:$S$508,"44501B1Convencional pré-pagamentoResidencialResidencialNão se aplicaNão se aplicaIntermediário",Mercado_Receita!$L$2:$L$508)+SUMIF(Mercado_Receita!$S$2:$S$508,"44501B1Convencional pré-pagamentoResidencialResidencialNão se aplicaNão se aplicaNão se aplica",Mercado_Receita!$L$2:$L$508)</f>
        <v>0</v>
      </c>
      <c r="L22" s="13">
        <f>SUMIF(Mercado_Receita!$S$2:$S$508,"44531B1Convencional pré-pagamentoResidencialResidencialNão se aplicaNão se aplicaPonta",Mercado_Receita!$L$2:$L$508)+SUMIF(Mercado_Receita!$S$2:$S$508,"44531B1Convencional pré-pagamentoResidencialResidencialNão se aplicaNão se aplicaFora ponta",Mercado_Receita!$L$2:$L$508)+SUMIF(Mercado_Receita!$S$2:$S$508,"44531B1Convencional pré-pagamentoResidencialResidencialNão se aplicaNão se aplicaIntermediário",Mercado_Receita!$L$2:$L$508)+SUMIF(Mercado_Receita!$S$2:$S$508,"44531B1Convencional pré-pagamentoResidencialResidencialNão se aplicaNão se aplicaNão se aplica",Mercado_Receita!$L$2:$L$508)</f>
        <v>0</v>
      </c>
      <c r="M22" s="13">
        <f>SUMIF(Mercado_Receita!$S$2:$S$508,"44562B1Convencional pré-pagamentoResidencialResidencialNão se aplicaNão se aplicaPonta",Mercado_Receita!$L$2:$L$508)+SUMIF(Mercado_Receita!$S$2:$S$508,"44562B1Convencional pré-pagamentoResidencialResidencialNão se aplicaNão se aplicaFora ponta",Mercado_Receita!$L$2:$L$508)+SUMIF(Mercado_Receita!$S$2:$S$508,"44562B1Convencional pré-pagamentoResidencialResidencialNão se aplicaNão se aplicaIntermediário",Mercado_Receita!$L$2:$L$508)+SUMIF(Mercado_Receita!$S$2:$S$508,"44562B1Convencional pré-pagamentoResidencialResidencialNão se aplicaNão se aplicaNão se aplica",Mercado_Receita!$L$2:$L$508)</f>
        <v>0</v>
      </c>
      <c r="N22" s="13">
        <f>SUMIF(Mercado_Receita!$S$2:$S$508,"44593B1Convencional pré-pagamentoResidencialResidencialNão se aplicaNão se aplicaPonta",Mercado_Receita!$L$2:$L$508)+SUMIF(Mercado_Receita!$S$2:$S$508,"44593B1Convencional pré-pagamentoResidencialResidencialNão se aplicaNão se aplicaFora ponta",Mercado_Receita!$L$2:$L$508)+SUMIF(Mercado_Receita!$S$2:$S$508,"44593B1Convencional pré-pagamentoResidencialResidencialNão se aplicaNão se aplicaIntermediário",Mercado_Receita!$L$2:$L$508)+SUMIF(Mercado_Receita!$S$2:$S$508,"44593B1Convencional pré-pagamentoResidencialResidencialNão se aplicaNão se aplicaNão se aplica",Mercado_Receita!$L$2:$L$508)</f>
        <v>0</v>
      </c>
      <c r="O22" s="13">
        <f>SUMIF(Mercado_Receita!$S$2:$S$508,"44621B1Convencional pré-pagamentoResidencialResidencialNão se aplicaNão se aplicaPonta",Mercado_Receita!$L$2:$L$508)+SUMIF(Mercado_Receita!$S$2:$S$508,"44621B1Convencional pré-pagamentoResidencialResidencialNão se aplicaNão se aplicaFora ponta",Mercado_Receita!$L$2:$L$508)+SUMIF(Mercado_Receita!$S$2:$S$508,"44621B1Convencional pré-pagamentoResidencialResidencialNão se aplicaNão se aplicaIntermediário",Mercado_Receita!$L$2:$L$508)+SUMIF(Mercado_Receita!$S$2:$S$508,"44621B1Convencional pré-pagamentoResidencialResidencialNão se aplicaNão se aplicaNão se aplica",Mercado_Receita!$L$2:$L$508)</f>
        <v>0</v>
      </c>
      <c r="P22" s="13">
        <f>SUMIF(Mercado_Receita!$S$2:$S$508,"44652B1Convencional pré-pagamentoResidencialResidencialNão se aplicaNão se aplicaPonta",Mercado_Receita!$L$2:$L$508)+SUMIF(Mercado_Receita!$S$2:$S$508,"44652B1Convencional pré-pagamentoResidencialResidencialNão se aplicaNão se aplicaFora ponta",Mercado_Receita!$L$2:$L$508)+SUMIF(Mercado_Receita!$S$2:$S$508,"44652B1Convencional pré-pagamentoResidencialResidencialNão se aplicaNão se aplicaIntermediário",Mercado_Receita!$L$2:$L$508)+SUMIF(Mercado_Receita!$S$2:$S$508,"44652B1Convencional pré-pagamentoResidencialResidencialNão se aplicaNão se aplicaNão se aplica",Mercado_Receita!$L$2:$L$508)</f>
        <v>0</v>
      </c>
      <c r="Q22" s="13">
        <f>SUMIF(Mercado_Receita!$S$2:$S$508,"44682B1Convencional pré-pagamentoResidencialResidencialNão se aplicaNão se aplicaPonta",Mercado_Receita!$L$2:$L$508)+SUMIF(Mercado_Receita!$S$2:$S$508,"44682B1Convencional pré-pagamentoResidencialResidencialNão se aplicaNão se aplicaFora ponta",Mercado_Receita!$L$2:$L$508)+SUMIF(Mercado_Receita!$S$2:$S$508,"44682B1Convencional pré-pagamentoResidencialResidencialNão se aplicaNão se aplicaIntermediário",Mercado_Receita!$L$2:$L$508)+SUMIF(Mercado_Receita!$S$2:$S$508,"44682B1Convencional pré-pagamentoResidencialResidencialNão se aplicaNão se aplicaNão se aplica",Mercado_Receita!$L$2:$L$508)</f>
        <v>0</v>
      </c>
      <c r="R22" s="13">
        <f>SUMIF(Mercado_Receita!$S$2:$S$508,"44713B1Convencional pré-pagamentoResidencialResidencialNão se aplicaNão se aplicaPonta",Mercado_Receita!$L$2:$L$508)+SUMIF(Mercado_Receita!$S$2:$S$508,"44713B1Convencional pré-pagamentoResidencialResidencialNão se aplicaNão se aplicaFora ponta",Mercado_Receita!$L$2:$L$508)+SUMIF(Mercado_Receita!$S$2:$S$508,"44713B1Convencional pré-pagamentoResidencialResidencialNão se aplicaNão se aplicaIntermediário",Mercado_Receita!$L$2:$L$508)+SUMIF(Mercado_Receita!$S$2:$S$508,"44713B1Convencional pré-pagamentoResidencialResidencialNão se aplicaNão se aplicaNão se aplica",Mercado_Receita!$L$2:$L$508)</f>
        <v>0</v>
      </c>
      <c r="S22" s="13">
        <f>SUMIF(Mercado_Receita!$S$2:$S$508,"44743B1Convencional pré-pagamentoResidencialResidencialNão se aplicaNão se aplicaPonta",Mercado_Receita!$L$2:$L$508)+SUMIF(Mercado_Receita!$S$2:$S$508,"44743B1Convencional pré-pagamentoResidencialResidencialNão se aplicaNão se aplicaFora ponta",Mercado_Receita!$L$2:$L$508)+SUMIF(Mercado_Receita!$S$2:$S$508,"44743B1Convencional pré-pagamentoResidencialResidencialNão se aplicaNão se aplicaIntermediário",Mercado_Receita!$L$2:$L$508)+SUMIF(Mercado_Receita!$S$2:$S$508,"44743B1Convencional pré-pagamentoResidencialResidencialNão se aplicaNão se aplicaNão se aplica",Mercado_Receita!$L$2:$L$508)</f>
        <v>0</v>
      </c>
      <c r="T22" s="13">
        <f>SUMIF(Mercado_Receita!$S$2:$S$508,"44774B1Convencional pré-pagamentoResidencialResidencialNão se aplicaNão se aplicaPonta",Mercado_Receita!$L$2:$L$508)+SUMIF(Mercado_Receita!$S$2:$S$508,"44774B1Convencional pré-pagamentoResidencialResidencialNão se aplicaNão se aplicaFora ponta",Mercado_Receita!$L$2:$L$508)+SUMIF(Mercado_Receita!$S$2:$S$508,"44774B1Convencional pré-pagamentoResidencialResidencialNão se aplicaNão se aplicaIntermediário",Mercado_Receita!$L$2:$L$508)+SUMIF(Mercado_Receita!$S$2:$S$508,"44774B1Convencional pré-pagamentoResidencialResidencialNão se aplicaNão se aplicaNão se aplica",Mercado_Receita!$L$2:$L$508)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7"/>
      <c r="B23" s="87"/>
      <c r="C23" s="87"/>
      <c r="D23" s="12" t="s">
        <v>29</v>
      </c>
      <c r="E23" s="12" t="s">
        <v>25</v>
      </c>
      <c r="F23" s="12" t="s">
        <v>25</v>
      </c>
      <c r="G23" s="13" t="s">
        <v>79</v>
      </c>
      <c r="H23" s="13" t="s">
        <v>73</v>
      </c>
      <c r="I23" s="13">
        <f>SUMIF(Mercado_Receita!$S$2:$S$508,"44440B1Convencional pré-pagamentoResidencialResidencial baixa renda – faixa 01Não se aplicaNão se aplicaPonta",Mercado_Receita!$L$2:$L$508)+SUMIF(Mercado_Receita!$S$2:$S$508,"44440B1Convencional pré-pagamentoResidencialResidencial baixa renda – faixa 01Não se aplicaNão se aplicaFora ponta",Mercado_Receita!$L$2:$L$508)+SUMIF(Mercado_Receita!$S$2:$S$508,"44440B1Convencional pré-pagamentoResidencialResidencial baixa renda – faixa 01Não se aplicaNão se aplicaIntermediário",Mercado_Receita!$L$2:$L$508)+SUMIF(Mercado_Receita!$S$2:$S$508,"44440B1Convencional pré-pagamentoResidencialResidencial baixa renda – faixa 01Não se aplicaNão se aplicaNão se aplica",Mercado_Receita!$L$2:$L$508)</f>
        <v>0</v>
      </c>
      <c r="J23" s="13">
        <f>SUMIF(Mercado_Receita!$S$2:$S$508,"44470B1Convencional pré-pagamentoResidencialResidencial baixa renda – faixa 01Não se aplicaNão se aplicaPonta",Mercado_Receita!$L$2:$L$508)+SUMIF(Mercado_Receita!$S$2:$S$508,"44470B1Convencional pré-pagamentoResidencialResidencial baixa renda – faixa 01Não se aplicaNão se aplicaFora ponta",Mercado_Receita!$L$2:$L$508)+SUMIF(Mercado_Receita!$S$2:$S$508,"44470B1Convencional pré-pagamentoResidencialResidencial baixa renda – faixa 01Não se aplicaNão se aplicaIntermediário",Mercado_Receita!$L$2:$L$508)+SUMIF(Mercado_Receita!$S$2:$S$508,"44470B1Convencional pré-pagamentoResidencialResidencial baixa renda – faixa 01Não se aplicaNão se aplicaNão se aplica",Mercado_Receita!$L$2:$L$508)</f>
        <v>0</v>
      </c>
      <c r="K23" s="13">
        <f>SUMIF(Mercado_Receita!$S$2:$S$508,"44501B1Convencional pré-pagamentoResidencialResidencial baixa renda – faixa 01Não se aplicaNão se aplicaPonta",Mercado_Receita!$L$2:$L$508)+SUMIF(Mercado_Receita!$S$2:$S$508,"44501B1Convencional pré-pagamentoResidencialResidencial baixa renda – faixa 01Não se aplicaNão se aplicaFora ponta",Mercado_Receita!$L$2:$L$508)+SUMIF(Mercado_Receita!$S$2:$S$508,"44501B1Convencional pré-pagamentoResidencialResidencial baixa renda – faixa 01Não se aplicaNão se aplicaIntermediário",Mercado_Receita!$L$2:$L$508)+SUMIF(Mercado_Receita!$S$2:$S$508,"44501B1Convencional pré-pagamentoResidencialResidencial baixa renda – faixa 01Não se aplicaNão se aplicaNão se aplica",Mercado_Receita!$L$2:$L$508)</f>
        <v>0</v>
      </c>
      <c r="L23" s="13">
        <f>SUMIF(Mercado_Receita!$S$2:$S$508,"44531B1Convencional pré-pagamentoResidencialResidencial baixa renda – faixa 01Não se aplicaNão se aplicaPonta",Mercado_Receita!$L$2:$L$508)+SUMIF(Mercado_Receita!$S$2:$S$508,"44531B1Convencional pré-pagamentoResidencialResidencial baixa renda – faixa 01Não se aplicaNão se aplicaFora ponta",Mercado_Receita!$L$2:$L$508)+SUMIF(Mercado_Receita!$S$2:$S$508,"44531B1Convencional pré-pagamentoResidencialResidencial baixa renda – faixa 01Não se aplicaNão se aplicaIntermediário",Mercado_Receita!$L$2:$L$508)+SUMIF(Mercado_Receita!$S$2:$S$508,"44531B1Convencional pré-pagamentoResidencialResidencial baixa renda – faixa 01Não se aplicaNão se aplicaNão se aplica",Mercado_Receita!$L$2:$L$508)</f>
        <v>0</v>
      </c>
      <c r="M23" s="13">
        <f>SUMIF(Mercado_Receita!$S$2:$S$508,"44562B1Convencional pré-pagamentoResidencialResidencial baixa renda – faixa 01Não se aplicaNão se aplicaPonta",Mercado_Receita!$L$2:$L$508)+SUMIF(Mercado_Receita!$S$2:$S$508,"44562B1Convencional pré-pagamentoResidencialResidencial baixa renda – faixa 01Não se aplicaNão se aplicaFora ponta",Mercado_Receita!$L$2:$L$508)+SUMIF(Mercado_Receita!$S$2:$S$508,"44562B1Convencional pré-pagamentoResidencialResidencial baixa renda – faixa 01Não se aplicaNão se aplicaIntermediário",Mercado_Receita!$L$2:$L$508)+SUMIF(Mercado_Receita!$S$2:$S$508,"44562B1Convencional pré-pagamentoResidencialResidencial baixa renda – faixa 01Não se aplicaNão se aplicaNão se aplica",Mercado_Receita!$L$2:$L$508)</f>
        <v>0</v>
      </c>
      <c r="N23" s="13">
        <f>SUMIF(Mercado_Receita!$S$2:$S$508,"44593B1Convencional pré-pagamentoResidencialResidencial baixa renda – faixa 01Não se aplicaNão se aplicaPonta",Mercado_Receita!$L$2:$L$508)+SUMIF(Mercado_Receita!$S$2:$S$508,"44593B1Convencional pré-pagamentoResidencialResidencial baixa renda – faixa 01Não se aplicaNão se aplicaFora ponta",Mercado_Receita!$L$2:$L$508)+SUMIF(Mercado_Receita!$S$2:$S$508,"44593B1Convencional pré-pagamentoResidencialResidencial baixa renda – faixa 01Não se aplicaNão se aplicaIntermediário",Mercado_Receita!$L$2:$L$508)+SUMIF(Mercado_Receita!$S$2:$S$508,"44593B1Convencional pré-pagamentoResidencialResidencial baixa renda – faixa 01Não se aplicaNão se aplicaNão se aplica",Mercado_Receita!$L$2:$L$508)</f>
        <v>0</v>
      </c>
      <c r="O23" s="13">
        <f>SUMIF(Mercado_Receita!$S$2:$S$508,"44621B1Convencional pré-pagamentoResidencialResidencial baixa renda – faixa 01Não se aplicaNão se aplicaPonta",Mercado_Receita!$L$2:$L$508)+SUMIF(Mercado_Receita!$S$2:$S$508,"44621B1Convencional pré-pagamentoResidencialResidencial baixa renda – faixa 01Não se aplicaNão se aplicaFora ponta",Mercado_Receita!$L$2:$L$508)+SUMIF(Mercado_Receita!$S$2:$S$508,"44621B1Convencional pré-pagamentoResidencialResidencial baixa renda – faixa 01Não se aplicaNão se aplicaIntermediário",Mercado_Receita!$L$2:$L$508)+SUMIF(Mercado_Receita!$S$2:$S$508,"44621B1Convencional pré-pagamentoResidencialResidencial baixa renda – faixa 01Não se aplicaNão se aplicaNão se aplica",Mercado_Receita!$L$2:$L$508)</f>
        <v>0</v>
      </c>
      <c r="P23" s="13">
        <f>SUMIF(Mercado_Receita!$S$2:$S$508,"44652B1Convencional pré-pagamentoResidencialResidencial baixa renda – faixa 01Não se aplicaNão se aplicaPonta",Mercado_Receita!$L$2:$L$508)+SUMIF(Mercado_Receita!$S$2:$S$508,"44652B1Convencional pré-pagamentoResidencialResidencial baixa renda – faixa 01Não se aplicaNão se aplicaFora ponta",Mercado_Receita!$L$2:$L$508)+SUMIF(Mercado_Receita!$S$2:$S$508,"44652B1Convencional pré-pagamentoResidencialResidencial baixa renda – faixa 01Não se aplicaNão se aplicaIntermediário",Mercado_Receita!$L$2:$L$508)+SUMIF(Mercado_Receita!$S$2:$S$508,"44652B1Convencional pré-pagamentoResidencialResidencial baixa renda – faixa 01Não se aplicaNão se aplicaNão se aplica",Mercado_Receita!$L$2:$L$508)</f>
        <v>0</v>
      </c>
      <c r="Q23" s="13">
        <f>SUMIF(Mercado_Receita!$S$2:$S$508,"44682B1Convencional pré-pagamentoResidencialResidencial baixa renda – faixa 01Não se aplicaNão se aplicaPonta",Mercado_Receita!$L$2:$L$508)+SUMIF(Mercado_Receita!$S$2:$S$508,"44682B1Convencional pré-pagamentoResidencialResidencial baixa renda – faixa 01Não se aplicaNão se aplicaFora ponta",Mercado_Receita!$L$2:$L$508)+SUMIF(Mercado_Receita!$S$2:$S$508,"44682B1Convencional pré-pagamentoResidencialResidencial baixa renda – faixa 01Não se aplicaNão se aplicaIntermediário",Mercado_Receita!$L$2:$L$508)+SUMIF(Mercado_Receita!$S$2:$S$508,"44682B1Convencional pré-pagamentoResidencialResidencial baixa renda – faixa 01Não se aplicaNão se aplicaNão se aplica",Mercado_Receita!$L$2:$L$508)</f>
        <v>0</v>
      </c>
      <c r="R23" s="13">
        <f>SUMIF(Mercado_Receita!$S$2:$S$508,"44713B1Convencional pré-pagamentoResidencialResidencial baixa renda – faixa 01Não se aplicaNão se aplicaPonta",Mercado_Receita!$L$2:$L$508)+SUMIF(Mercado_Receita!$S$2:$S$508,"44713B1Convencional pré-pagamentoResidencialResidencial baixa renda – faixa 01Não se aplicaNão se aplicaFora ponta",Mercado_Receita!$L$2:$L$508)+SUMIF(Mercado_Receita!$S$2:$S$508,"44713B1Convencional pré-pagamentoResidencialResidencial baixa renda – faixa 01Não se aplicaNão se aplicaIntermediário",Mercado_Receita!$L$2:$L$508)+SUMIF(Mercado_Receita!$S$2:$S$508,"44713B1Convencional pré-pagamentoResidencialResidencial baixa renda – faixa 01Não se aplicaNão se aplicaNão se aplica",Mercado_Receita!$L$2:$L$508)</f>
        <v>0</v>
      </c>
      <c r="S23" s="13">
        <f>SUMIF(Mercado_Receita!$S$2:$S$508,"44743B1Convencional pré-pagamentoResidencialResidencial baixa renda – faixa 01Não se aplicaNão se aplicaPonta",Mercado_Receita!$L$2:$L$508)+SUMIF(Mercado_Receita!$S$2:$S$508,"44743B1Convencional pré-pagamentoResidencialResidencial baixa renda – faixa 01Não se aplicaNão se aplicaFora ponta",Mercado_Receita!$L$2:$L$508)+SUMIF(Mercado_Receita!$S$2:$S$508,"44743B1Convencional pré-pagamentoResidencialResidencial baixa renda – faixa 01Não se aplicaNão se aplicaIntermediário",Mercado_Receita!$L$2:$L$508)+SUMIF(Mercado_Receita!$S$2:$S$508,"44743B1Convencional pré-pagamentoResidencialResidencial baixa renda – faixa 01Não se aplicaNão se aplicaNão se aplica",Mercado_Receita!$L$2:$L$508)</f>
        <v>0</v>
      </c>
      <c r="T23" s="13">
        <f>SUMIF(Mercado_Receita!$S$2:$S$508,"44774B1Convencional pré-pagamentoResidencialResidencial baixa renda – faixa 01Não se aplicaNão se aplicaPonta",Mercado_Receita!$L$2:$L$508)+SUMIF(Mercado_Receita!$S$2:$S$508,"44774B1Convencional pré-pagamentoResidencialResidencial baixa renda – faixa 01Não se aplicaNão se aplicaFora ponta",Mercado_Receita!$L$2:$L$508)+SUMIF(Mercado_Receita!$S$2:$S$508,"44774B1Convencional pré-pagamentoResidencialResidencial baixa renda – faixa 01Não se aplicaNão se aplicaIntermediário",Mercado_Receita!$L$2:$L$508)+SUMIF(Mercado_Receita!$S$2:$S$508,"44774B1Convencional pré-pagamentoResidencialResidencial baixa renda – faixa 01Não se aplicaNão se aplicaNão se aplica",Mercado_Receita!$L$2:$L$508)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7"/>
      <c r="B24" s="87"/>
      <c r="C24" s="87"/>
      <c r="D24" s="12" t="s">
        <v>30</v>
      </c>
      <c r="E24" s="12" t="s">
        <v>25</v>
      </c>
      <c r="F24" s="12" t="s">
        <v>25</v>
      </c>
      <c r="G24" s="13" t="s">
        <v>79</v>
      </c>
      <c r="H24" s="13" t="s">
        <v>73</v>
      </c>
      <c r="I24" s="13">
        <f>SUMIF(Mercado_Receita!$S$2:$S$508,"44440B1Convencional pré-pagamentoResidencialResidencial baixa renda – faixa 02Não se aplicaNão se aplicaPonta",Mercado_Receita!$L$2:$L$508)+SUMIF(Mercado_Receita!$S$2:$S$508,"44440B1Convencional pré-pagamentoResidencialResidencial baixa renda – faixa 02Não se aplicaNão se aplicaFora ponta",Mercado_Receita!$L$2:$L$508)+SUMIF(Mercado_Receita!$S$2:$S$508,"44440B1Convencional pré-pagamentoResidencialResidencial baixa renda – faixa 02Não se aplicaNão se aplicaIntermediário",Mercado_Receita!$L$2:$L$508)+SUMIF(Mercado_Receita!$S$2:$S$508,"44440B1Convencional pré-pagamentoResidencialResidencial baixa renda – faixa 02Não se aplicaNão se aplicaNão se aplica",Mercado_Receita!$L$2:$L$508)</f>
        <v>0</v>
      </c>
      <c r="J24" s="13">
        <f>SUMIF(Mercado_Receita!$S$2:$S$508,"44470B1Convencional pré-pagamentoResidencialResidencial baixa renda – faixa 02Não se aplicaNão se aplicaPonta",Mercado_Receita!$L$2:$L$508)+SUMIF(Mercado_Receita!$S$2:$S$508,"44470B1Convencional pré-pagamentoResidencialResidencial baixa renda – faixa 02Não se aplicaNão se aplicaFora ponta",Mercado_Receita!$L$2:$L$508)+SUMIF(Mercado_Receita!$S$2:$S$508,"44470B1Convencional pré-pagamentoResidencialResidencial baixa renda – faixa 02Não se aplicaNão se aplicaIntermediário",Mercado_Receita!$L$2:$L$508)+SUMIF(Mercado_Receita!$S$2:$S$508,"44470B1Convencional pré-pagamentoResidencialResidencial baixa renda – faixa 02Não se aplicaNão se aplicaNão se aplica",Mercado_Receita!$L$2:$L$508)</f>
        <v>0</v>
      </c>
      <c r="K24" s="13">
        <f>SUMIF(Mercado_Receita!$S$2:$S$508,"44501B1Convencional pré-pagamentoResidencialResidencial baixa renda – faixa 02Não se aplicaNão se aplicaPonta",Mercado_Receita!$L$2:$L$508)+SUMIF(Mercado_Receita!$S$2:$S$508,"44501B1Convencional pré-pagamentoResidencialResidencial baixa renda – faixa 02Não se aplicaNão se aplicaFora ponta",Mercado_Receita!$L$2:$L$508)+SUMIF(Mercado_Receita!$S$2:$S$508,"44501B1Convencional pré-pagamentoResidencialResidencial baixa renda – faixa 02Não se aplicaNão se aplicaIntermediário",Mercado_Receita!$L$2:$L$508)+SUMIF(Mercado_Receita!$S$2:$S$508,"44501B1Convencional pré-pagamentoResidencialResidencial baixa renda – faixa 02Não se aplicaNão se aplicaNão se aplica",Mercado_Receita!$L$2:$L$508)</f>
        <v>0</v>
      </c>
      <c r="L24" s="13">
        <f>SUMIF(Mercado_Receita!$S$2:$S$508,"44531B1Convencional pré-pagamentoResidencialResidencial baixa renda – faixa 02Não se aplicaNão se aplicaPonta",Mercado_Receita!$L$2:$L$508)+SUMIF(Mercado_Receita!$S$2:$S$508,"44531B1Convencional pré-pagamentoResidencialResidencial baixa renda – faixa 02Não se aplicaNão se aplicaFora ponta",Mercado_Receita!$L$2:$L$508)+SUMIF(Mercado_Receita!$S$2:$S$508,"44531B1Convencional pré-pagamentoResidencialResidencial baixa renda – faixa 02Não se aplicaNão se aplicaIntermediário",Mercado_Receita!$L$2:$L$508)+SUMIF(Mercado_Receita!$S$2:$S$508,"44531B1Convencional pré-pagamentoResidencialResidencial baixa renda – faixa 02Não se aplicaNão se aplicaNão se aplica",Mercado_Receita!$L$2:$L$508)</f>
        <v>0</v>
      </c>
      <c r="M24" s="13">
        <f>SUMIF(Mercado_Receita!$S$2:$S$508,"44562B1Convencional pré-pagamentoResidencialResidencial baixa renda – faixa 02Não se aplicaNão se aplicaPonta",Mercado_Receita!$L$2:$L$508)+SUMIF(Mercado_Receita!$S$2:$S$508,"44562B1Convencional pré-pagamentoResidencialResidencial baixa renda – faixa 02Não se aplicaNão se aplicaFora ponta",Mercado_Receita!$L$2:$L$508)+SUMIF(Mercado_Receita!$S$2:$S$508,"44562B1Convencional pré-pagamentoResidencialResidencial baixa renda – faixa 02Não se aplicaNão se aplicaIntermediário",Mercado_Receita!$L$2:$L$508)+SUMIF(Mercado_Receita!$S$2:$S$508,"44562B1Convencional pré-pagamentoResidencialResidencial baixa renda – faixa 02Não se aplicaNão se aplicaNão se aplica",Mercado_Receita!$L$2:$L$508)</f>
        <v>0</v>
      </c>
      <c r="N24" s="13">
        <f>SUMIF(Mercado_Receita!$S$2:$S$508,"44593B1Convencional pré-pagamentoResidencialResidencial baixa renda – faixa 02Não se aplicaNão se aplicaPonta",Mercado_Receita!$L$2:$L$508)+SUMIF(Mercado_Receita!$S$2:$S$508,"44593B1Convencional pré-pagamentoResidencialResidencial baixa renda – faixa 02Não se aplicaNão se aplicaFora ponta",Mercado_Receita!$L$2:$L$508)+SUMIF(Mercado_Receita!$S$2:$S$508,"44593B1Convencional pré-pagamentoResidencialResidencial baixa renda – faixa 02Não se aplicaNão se aplicaIntermediário",Mercado_Receita!$L$2:$L$508)+SUMIF(Mercado_Receita!$S$2:$S$508,"44593B1Convencional pré-pagamentoResidencialResidencial baixa renda – faixa 02Não se aplicaNão se aplicaNão se aplica",Mercado_Receita!$L$2:$L$508)</f>
        <v>0</v>
      </c>
      <c r="O24" s="13">
        <f>SUMIF(Mercado_Receita!$S$2:$S$508,"44621B1Convencional pré-pagamentoResidencialResidencial baixa renda – faixa 02Não se aplicaNão se aplicaPonta",Mercado_Receita!$L$2:$L$508)+SUMIF(Mercado_Receita!$S$2:$S$508,"44621B1Convencional pré-pagamentoResidencialResidencial baixa renda – faixa 02Não se aplicaNão se aplicaFora ponta",Mercado_Receita!$L$2:$L$508)+SUMIF(Mercado_Receita!$S$2:$S$508,"44621B1Convencional pré-pagamentoResidencialResidencial baixa renda – faixa 02Não se aplicaNão se aplicaIntermediário",Mercado_Receita!$L$2:$L$508)+SUMIF(Mercado_Receita!$S$2:$S$508,"44621B1Convencional pré-pagamentoResidencialResidencial baixa renda – faixa 02Não se aplicaNão se aplicaNão se aplica",Mercado_Receita!$L$2:$L$508)</f>
        <v>0</v>
      </c>
      <c r="P24" s="13">
        <f>SUMIF(Mercado_Receita!$S$2:$S$508,"44652B1Convencional pré-pagamentoResidencialResidencial baixa renda – faixa 02Não se aplicaNão se aplicaPonta",Mercado_Receita!$L$2:$L$508)+SUMIF(Mercado_Receita!$S$2:$S$508,"44652B1Convencional pré-pagamentoResidencialResidencial baixa renda – faixa 02Não se aplicaNão se aplicaFora ponta",Mercado_Receita!$L$2:$L$508)+SUMIF(Mercado_Receita!$S$2:$S$508,"44652B1Convencional pré-pagamentoResidencialResidencial baixa renda – faixa 02Não se aplicaNão se aplicaIntermediário",Mercado_Receita!$L$2:$L$508)+SUMIF(Mercado_Receita!$S$2:$S$508,"44652B1Convencional pré-pagamentoResidencialResidencial baixa renda – faixa 02Não se aplicaNão se aplicaNão se aplica",Mercado_Receita!$L$2:$L$508)</f>
        <v>0</v>
      </c>
      <c r="Q24" s="13">
        <f>SUMIF(Mercado_Receita!$S$2:$S$508,"44682B1Convencional pré-pagamentoResidencialResidencial baixa renda – faixa 02Não se aplicaNão se aplicaPonta",Mercado_Receita!$L$2:$L$508)+SUMIF(Mercado_Receita!$S$2:$S$508,"44682B1Convencional pré-pagamentoResidencialResidencial baixa renda – faixa 02Não se aplicaNão se aplicaFora ponta",Mercado_Receita!$L$2:$L$508)+SUMIF(Mercado_Receita!$S$2:$S$508,"44682B1Convencional pré-pagamentoResidencialResidencial baixa renda – faixa 02Não se aplicaNão se aplicaIntermediário",Mercado_Receita!$L$2:$L$508)+SUMIF(Mercado_Receita!$S$2:$S$508,"44682B1Convencional pré-pagamentoResidencialResidencial baixa renda – faixa 02Não se aplicaNão se aplicaNão se aplica",Mercado_Receita!$L$2:$L$508)</f>
        <v>0</v>
      </c>
      <c r="R24" s="13">
        <f>SUMIF(Mercado_Receita!$S$2:$S$508,"44713B1Convencional pré-pagamentoResidencialResidencial baixa renda – faixa 02Não se aplicaNão se aplicaPonta",Mercado_Receita!$L$2:$L$508)+SUMIF(Mercado_Receita!$S$2:$S$508,"44713B1Convencional pré-pagamentoResidencialResidencial baixa renda – faixa 02Não se aplicaNão se aplicaFora ponta",Mercado_Receita!$L$2:$L$508)+SUMIF(Mercado_Receita!$S$2:$S$508,"44713B1Convencional pré-pagamentoResidencialResidencial baixa renda – faixa 02Não se aplicaNão se aplicaIntermediário",Mercado_Receita!$L$2:$L$508)+SUMIF(Mercado_Receita!$S$2:$S$508,"44713B1Convencional pré-pagamentoResidencialResidencial baixa renda – faixa 02Não se aplicaNão se aplicaNão se aplica",Mercado_Receita!$L$2:$L$508)</f>
        <v>0</v>
      </c>
      <c r="S24" s="13">
        <f>SUMIF(Mercado_Receita!$S$2:$S$508,"44743B1Convencional pré-pagamentoResidencialResidencial baixa renda – faixa 02Não se aplicaNão se aplicaPonta",Mercado_Receita!$L$2:$L$508)+SUMIF(Mercado_Receita!$S$2:$S$508,"44743B1Convencional pré-pagamentoResidencialResidencial baixa renda – faixa 02Não se aplicaNão se aplicaFora ponta",Mercado_Receita!$L$2:$L$508)+SUMIF(Mercado_Receita!$S$2:$S$508,"44743B1Convencional pré-pagamentoResidencialResidencial baixa renda – faixa 02Não se aplicaNão se aplicaIntermediário",Mercado_Receita!$L$2:$L$508)+SUMIF(Mercado_Receita!$S$2:$S$508,"44743B1Convencional pré-pagamentoResidencialResidencial baixa renda – faixa 02Não se aplicaNão se aplicaNão se aplica",Mercado_Receita!$L$2:$L$508)</f>
        <v>0</v>
      </c>
      <c r="T24" s="13">
        <f>SUMIF(Mercado_Receita!$S$2:$S$508,"44774B1Convencional pré-pagamentoResidencialResidencial baixa renda – faixa 02Não se aplicaNão se aplicaPonta",Mercado_Receita!$L$2:$L$508)+SUMIF(Mercado_Receita!$S$2:$S$508,"44774B1Convencional pré-pagamentoResidencialResidencial baixa renda – faixa 02Não se aplicaNão se aplicaFora ponta",Mercado_Receita!$L$2:$L$508)+SUMIF(Mercado_Receita!$S$2:$S$508,"44774B1Convencional pré-pagamentoResidencialResidencial baixa renda – faixa 02Não se aplicaNão se aplicaIntermediário",Mercado_Receita!$L$2:$L$508)+SUMIF(Mercado_Receita!$S$2:$S$508,"44774B1Convencional pré-pagamentoResidencialResidencial baixa renda – faixa 02Não se aplicaNão se aplicaNão se aplica",Mercado_Receita!$L$2:$L$508)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7"/>
      <c r="B25" s="87"/>
      <c r="C25" s="87"/>
      <c r="D25" s="12" t="s">
        <v>31</v>
      </c>
      <c r="E25" s="12" t="s">
        <v>25</v>
      </c>
      <c r="F25" s="12" t="s">
        <v>25</v>
      </c>
      <c r="G25" s="13" t="s">
        <v>79</v>
      </c>
      <c r="H25" s="13" t="s">
        <v>73</v>
      </c>
      <c r="I25" s="13">
        <f>SUMIF(Mercado_Receita!$S$2:$S$508,"44440B1Convencional pré-pagamentoResidencialResidencial baixa renda – faixa 03Não se aplicaNão se aplicaPonta",Mercado_Receita!$L$2:$L$508)+SUMIF(Mercado_Receita!$S$2:$S$508,"44440B1Convencional pré-pagamentoResidencialResidencial baixa renda – faixa 03Não se aplicaNão se aplicaFora ponta",Mercado_Receita!$L$2:$L$508)+SUMIF(Mercado_Receita!$S$2:$S$508,"44440B1Convencional pré-pagamentoResidencialResidencial baixa renda – faixa 03Não se aplicaNão se aplicaIntermediário",Mercado_Receita!$L$2:$L$508)+SUMIF(Mercado_Receita!$S$2:$S$508,"44440B1Convencional pré-pagamentoResidencialResidencial baixa renda – faixa 03Não se aplicaNão se aplicaNão se aplica",Mercado_Receita!$L$2:$L$508)</f>
        <v>0</v>
      </c>
      <c r="J25" s="13">
        <f>SUMIF(Mercado_Receita!$S$2:$S$508,"44470B1Convencional pré-pagamentoResidencialResidencial baixa renda – faixa 03Não se aplicaNão se aplicaPonta",Mercado_Receita!$L$2:$L$508)+SUMIF(Mercado_Receita!$S$2:$S$508,"44470B1Convencional pré-pagamentoResidencialResidencial baixa renda – faixa 03Não se aplicaNão se aplicaFora ponta",Mercado_Receita!$L$2:$L$508)+SUMIF(Mercado_Receita!$S$2:$S$508,"44470B1Convencional pré-pagamentoResidencialResidencial baixa renda – faixa 03Não se aplicaNão se aplicaIntermediário",Mercado_Receita!$L$2:$L$508)+SUMIF(Mercado_Receita!$S$2:$S$508,"44470B1Convencional pré-pagamentoResidencialResidencial baixa renda – faixa 03Não se aplicaNão se aplicaNão se aplica",Mercado_Receita!$L$2:$L$508)</f>
        <v>0</v>
      </c>
      <c r="K25" s="13">
        <f>SUMIF(Mercado_Receita!$S$2:$S$508,"44501B1Convencional pré-pagamentoResidencialResidencial baixa renda – faixa 03Não se aplicaNão se aplicaPonta",Mercado_Receita!$L$2:$L$508)+SUMIF(Mercado_Receita!$S$2:$S$508,"44501B1Convencional pré-pagamentoResidencialResidencial baixa renda – faixa 03Não se aplicaNão se aplicaFora ponta",Mercado_Receita!$L$2:$L$508)+SUMIF(Mercado_Receita!$S$2:$S$508,"44501B1Convencional pré-pagamentoResidencialResidencial baixa renda – faixa 03Não se aplicaNão se aplicaIntermediário",Mercado_Receita!$L$2:$L$508)+SUMIF(Mercado_Receita!$S$2:$S$508,"44501B1Convencional pré-pagamentoResidencialResidencial baixa renda – faixa 03Não se aplicaNão se aplicaNão se aplica",Mercado_Receita!$L$2:$L$508)</f>
        <v>0</v>
      </c>
      <c r="L25" s="13">
        <f>SUMIF(Mercado_Receita!$S$2:$S$508,"44531B1Convencional pré-pagamentoResidencialResidencial baixa renda – faixa 03Não se aplicaNão se aplicaPonta",Mercado_Receita!$L$2:$L$508)+SUMIF(Mercado_Receita!$S$2:$S$508,"44531B1Convencional pré-pagamentoResidencialResidencial baixa renda – faixa 03Não se aplicaNão se aplicaFora ponta",Mercado_Receita!$L$2:$L$508)+SUMIF(Mercado_Receita!$S$2:$S$508,"44531B1Convencional pré-pagamentoResidencialResidencial baixa renda – faixa 03Não se aplicaNão se aplicaIntermediário",Mercado_Receita!$L$2:$L$508)+SUMIF(Mercado_Receita!$S$2:$S$508,"44531B1Convencional pré-pagamentoResidencialResidencial baixa renda – faixa 03Não se aplicaNão se aplicaNão se aplica",Mercado_Receita!$L$2:$L$508)</f>
        <v>0</v>
      </c>
      <c r="M25" s="13">
        <f>SUMIF(Mercado_Receita!$S$2:$S$508,"44562B1Convencional pré-pagamentoResidencialResidencial baixa renda – faixa 03Não se aplicaNão se aplicaPonta",Mercado_Receita!$L$2:$L$508)+SUMIF(Mercado_Receita!$S$2:$S$508,"44562B1Convencional pré-pagamentoResidencialResidencial baixa renda – faixa 03Não se aplicaNão se aplicaFora ponta",Mercado_Receita!$L$2:$L$508)+SUMIF(Mercado_Receita!$S$2:$S$508,"44562B1Convencional pré-pagamentoResidencialResidencial baixa renda – faixa 03Não se aplicaNão se aplicaIntermediário",Mercado_Receita!$L$2:$L$508)+SUMIF(Mercado_Receita!$S$2:$S$508,"44562B1Convencional pré-pagamentoResidencialResidencial baixa renda – faixa 03Não se aplicaNão se aplicaNão se aplica",Mercado_Receita!$L$2:$L$508)</f>
        <v>0</v>
      </c>
      <c r="N25" s="13">
        <f>SUMIF(Mercado_Receita!$S$2:$S$508,"44593B1Convencional pré-pagamentoResidencialResidencial baixa renda – faixa 03Não se aplicaNão se aplicaPonta",Mercado_Receita!$L$2:$L$508)+SUMIF(Mercado_Receita!$S$2:$S$508,"44593B1Convencional pré-pagamentoResidencialResidencial baixa renda – faixa 03Não se aplicaNão se aplicaFora ponta",Mercado_Receita!$L$2:$L$508)+SUMIF(Mercado_Receita!$S$2:$S$508,"44593B1Convencional pré-pagamentoResidencialResidencial baixa renda – faixa 03Não se aplicaNão se aplicaIntermediário",Mercado_Receita!$L$2:$L$508)+SUMIF(Mercado_Receita!$S$2:$S$508,"44593B1Convencional pré-pagamentoResidencialResidencial baixa renda – faixa 03Não se aplicaNão se aplicaNão se aplica",Mercado_Receita!$L$2:$L$508)</f>
        <v>0</v>
      </c>
      <c r="O25" s="13">
        <f>SUMIF(Mercado_Receita!$S$2:$S$508,"44621B1Convencional pré-pagamentoResidencialResidencial baixa renda – faixa 03Não se aplicaNão se aplicaPonta",Mercado_Receita!$L$2:$L$508)+SUMIF(Mercado_Receita!$S$2:$S$508,"44621B1Convencional pré-pagamentoResidencialResidencial baixa renda – faixa 03Não se aplicaNão se aplicaFora ponta",Mercado_Receita!$L$2:$L$508)+SUMIF(Mercado_Receita!$S$2:$S$508,"44621B1Convencional pré-pagamentoResidencialResidencial baixa renda – faixa 03Não se aplicaNão se aplicaIntermediário",Mercado_Receita!$L$2:$L$508)+SUMIF(Mercado_Receita!$S$2:$S$508,"44621B1Convencional pré-pagamentoResidencialResidencial baixa renda – faixa 03Não se aplicaNão se aplicaNão se aplica",Mercado_Receita!$L$2:$L$508)</f>
        <v>0</v>
      </c>
      <c r="P25" s="13">
        <f>SUMIF(Mercado_Receita!$S$2:$S$508,"44652B1Convencional pré-pagamentoResidencialResidencial baixa renda – faixa 03Não se aplicaNão se aplicaPonta",Mercado_Receita!$L$2:$L$508)+SUMIF(Mercado_Receita!$S$2:$S$508,"44652B1Convencional pré-pagamentoResidencialResidencial baixa renda – faixa 03Não se aplicaNão se aplicaFora ponta",Mercado_Receita!$L$2:$L$508)+SUMIF(Mercado_Receita!$S$2:$S$508,"44652B1Convencional pré-pagamentoResidencialResidencial baixa renda – faixa 03Não se aplicaNão se aplicaIntermediário",Mercado_Receita!$L$2:$L$508)+SUMIF(Mercado_Receita!$S$2:$S$508,"44652B1Convencional pré-pagamentoResidencialResidencial baixa renda – faixa 03Não se aplicaNão se aplicaNão se aplica",Mercado_Receita!$L$2:$L$508)</f>
        <v>0</v>
      </c>
      <c r="Q25" s="13">
        <f>SUMIF(Mercado_Receita!$S$2:$S$508,"44682B1Convencional pré-pagamentoResidencialResidencial baixa renda – faixa 03Não se aplicaNão se aplicaPonta",Mercado_Receita!$L$2:$L$508)+SUMIF(Mercado_Receita!$S$2:$S$508,"44682B1Convencional pré-pagamentoResidencialResidencial baixa renda – faixa 03Não se aplicaNão se aplicaFora ponta",Mercado_Receita!$L$2:$L$508)+SUMIF(Mercado_Receita!$S$2:$S$508,"44682B1Convencional pré-pagamentoResidencialResidencial baixa renda – faixa 03Não se aplicaNão se aplicaIntermediário",Mercado_Receita!$L$2:$L$508)+SUMIF(Mercado_Receita!$S$2:$S$508,"44682B1Convencional pré-pagamentoResidencialResidencial baixa renda – faixa 03Não se aplicaNão se aplicaNão se aplica",Mercado_Receita!$L$2:$L$508)</f>
        <v>0</v>
      </c>
      <c r="R25" s="13">
        <f>SUMIF(Mercado_Receita!$S$2:$S$508,"44713B1Convencional pré-pagamentoResidencialResidencial baixa renda – faixa 03Não se aplicaNão se aplicaPonta",Mercado_Receita!$L$2:$L$508)+SUMIF(Mercado_Receita!$S$2:$S$508,"44713B1Convencional pré-pagamentoResidencialResidencial baixa renda – faixa 03Não se aplicaNão se aplicaFora ponta",Mercado_Receita!$L$2:$L$508)+SUMIF(Mercado_Receita!$S$2:$S$508,"44713B1Convencional pré-pagamentoResidencialResidencial baixa renda – faixa 03Não se aplicaNão se aplicaIntermediário",Mercado_Receita!$L$2:$L$508)+SUMIF(Mercado_Receita!$S$2:$S$508,"44713B1Convencional pré-pagamentoResidencialResidencial baixa renda – faixa 03Não se aplicaNão se aplicaNão se aplica",Mercado_Receita!$L$2:$L$508)</f>
        <v>0</v>
      </c>
      <c r="S25" s="13">
        <f>SUMIF(Mercado_Receita!$S$2:$S$508,"44743B1Convencional pré-pagamentoResidencialResidencial baixa renda – faixa 03Não se aplicaNão se aplicaPonta",Mercado_Receita!$L$2:$L$508)+SUMIF(Mercado_Receita!$S$2:$S$508,"44743B1Convencional pré-pagamentoResidencialResidencial baixa renda – faixa 03Não se aplicaNão se aplicaFora ponta",Mercado_Receita!$L$2:$L$508)+SUMIF(Mercado_Receita!$S$2:$S$508,"44743B1Convencional pré-pagamentoResidencialResidencial baixa renda – faixa 03Não se aplicaNão se aplicaIntermediário",Mercado_Receita!$L$2:$L$508)+SUMIF(Mercado_Receita!$S$2:$S$508,"44743B1Convencional pré-pagamentoResidencialResidencial baixa renda – faixa 03Não se aplicaNão se aplicaNão se aplica",Mercado_Receita!$L$2:$L$508)</f>
        <v>0</v>
      </c>
      <c r="T25" s="13">
        <f>SUMIF(Mercado_Receita!$S$2:$S$508,"44774B1Convencional pré-pagamentoResidencialResidencial baixa renda – faixa 03Não se aplicaNão se aplicaPonta",Mercado_Receita!$L$2:$L$508)+SUMIF(Mercado_Receita!$S$2:$S$508,"44774B1Convencional pré-pagamentoResidencialResidencial baixa renda – faixa 03Não se aplicaNão se aplicaFora ponta",Mercado_Receita!$L$2:$L$508)+SUMIF(Mercado_Receita!$S$2:$S$508,"44774B1Convencional pré-pagamentoResidencialResidencial baixa renda – faixa 03Não se aplicaNão se aplicaIntermediário",Mercado_Receita!$L$2:$L$508)+SUMIF(Mercado_Receita!$S$2:$S$508,"44774B1Convencional pré-pagamentoResidencialResidencial baixa renda – faixa 03Não se aplicaNão se aplicaNão se aplica",Mercado_Receita!$L$2:$L$508)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7"/>
      <c r="B26" s="87"/>
      <c r="C26" s="87"/>
      <c r="D26" s="12" t="s">
        <v>32</v>
      </c>
      <c r="E26" s="12" t="s">
        <v>25</v>
      </c>
      <c r="F26" s="12" t="s">
        <v>25</v>
      </c>
      <c r="G26" s="13" t="s">
        <v>79</v>
      </c>
      <c r="H26" s="13" t="s">
        <v>73</v>
      </c>
      <c r="I26" s="13">
        <f>SUMIF(Mercado_Receita!$S$2:$S$508,"44440B1Convencional pré-pagamentoResidencialResidencial baixa renda – faixa 04Não se aplicaNão se aplicaPonta",Mercado_Receita!$L$2:$L$508)+SUMIF(Mercado_Receita!$S$2:$S$508,"44440B1Convencional pré-pagamentoResidencialResidencial baixa renda – faixa 04Não se aplicaNão se aplicaFora ponta",Mercado_Receita!$L$2:$L$508)+SUMIF(Mercado_Receita!$S$2:$S$508,"44440B1Convencional pré-pagamentoResidencialResidencial baixa renda – faixa 04Não se aplicaNão se aplicaIntermediário",Mercado_Receita!$L$2:$L$508)+SUMIF(Mercado_Receita!$S$2:$S$508,"44440B1Convencional pré-pagamentoResidencialResidencial baixa renda – faixa 04Não se aplicaNão se aplicaNão se aplica",Mercado_Receita!$L$2:$L$508)</f>
        <v>0</v>
      </c>
      <c r="J26" s="13">
        <f>SUMIF(Mercado_Receita!$S$2:$S$508,"44470B1Convencional pré-pagamentoResidencialResidencial baixa renda – faixa 04Não se aplicaNão se aplicaPonta",Mercado_Receita!$L$2:$L$508)+SUMIF(Mercado_Receita!$S$2:$S$508,"44470B1Convencional pré-pagamentoResidencialResidencial baixa renda – faixa 04Não se aplicaNão se aplicaFora ponta",Mercado_Receita!$L$2:$L$508)+SUMIF(Mercado_Receita!$S$2:$S$508,"44470B1Convencional pré-pagamentoResidencialResidencial baixa renda – faixa 04Não se aplicaNão se aplicaIntermediário",Mercado_Receita!$L$2:$L$508)+SUMIF(Mercado_Receita!$S$2:$S$508,"44470B1Convencional pré-pagamentoResidencialResidencial baixa renda – faixa 04Não se aplicaNão se aplicaNão se aplica",Mercado_Receita!$L$2:$L$508)</f>
        <v>0</v>
      </c>
      <c r="K26" s="13">
        <f>SUMIF(Mercado_Receita!$S$2:$S$508,"44501B1Convencional pré-pagamentoResidencialResidencial baixa renda – faixa 04Não se aplicaNão se aplicaPonta",Mercado_Receita!$L$2:$L$508)+SUMIF(Mercado_Receita!$S$2:$S$508,"44501B1Convencional pré-pagamentoResidencialResidencial baixa renda – faixa 04Não se aplicaNão se aplicaFora ponta",Mercado_Receita!$L$2:$L$508)+SUMIF(Mercado_Receita!$S$2:$S$508,"44501B1Convencional pré-pagamentoResidencialResidencial baixa renda – faixa 04Não se aplicaNão se aplicaIntermediário",Mercado_Receita!$L$2:$L$508)+SUMIF(Mercado_Receita!$S$2:$S$508,"44501B1Convencional pré-pagamentoResidencialResidencial baixa renda – faixa 04Não se aplicaNão se aplicaNão se aplica",Mercado_Receita!$L$2:$L$508)</f>
        <v>0</v>
      </c>
      <c r="L26" s="13">
        <f>SUMIF(Mercado_Receita!$S$2:$S$508,"44531B1Convencional pré-pagamentoResidencialResidencial baixa renda – faixa 04Não se aplicaNão se aplicaPonta",Mercado_Receita!$L$2:$L$508)+SUMIF(Mercado_Receita!$S$2:$S$508,"44531B1Convencional pré-pagamentoResidencialResidencial baixa renda – faixa 04Não se aplicaNão se aplicaFora ponta",Mercado_Receita!$L$2:$L$508)+SUMIF(Mercado_Receita!$S$2:$S$508,"44531B1Convencional pré-pagamentoResidencialResidencial baixa renda – faixa 04Não se aplicaNão se aplicaIntermediário",Mercado_Receita!$L$2:$L$508)+SUMIF(Mercado_Receita!$S$2:$S$508,"44531B1Convencional pré-pagamentoResidencialResidencial baixa renda – faixa 04Não se aplicaNão se aplicaNão se aplica",Mercado_Receita!$L$2:$L$508)</f>
        <v>0</v>
      </c>
      <c r="M26" s="13">
        <f>SUMIF(Mercado_Receita!$S$2:$S$508,"44562B1Convencional pré-pagamentoResidencialResidencial baixa renda – faixa 04Não se aplicaNão se aplicaPonta",Mercado_Receita!$L$2:$L$508)+SUMIF(Mercado_Receita!$S$2:$S$508,"44562B1Convencional pré-pagamentoResidencialResidencial baixa renda – faixa 04Não se aplicaNão se aplicaFora ponta",Mercado_Receita!$L$2:$L$508)+SUMIF(Mercado_Receita!$S$2:$S$508,"44562B1Convencional pré-pagamentoResidencialResidencial baixa renda – faixa 04Não se aplicaNão se aplicaIntermediário",Mercado_Receita!$L$2:$L$508)+SUMIF(Mercado_Receita!$S$2:$S$508,"44562B1Convencional pré-pagamentoResidencialResidencial baixa renda – faixa 04Não se aplicaNão se aplicaNão se aplica",Mercado_Receita!$L$2:$L$508)</f>
        <v>0</v>
      </c>
      <c r="N26" s="13">
        <f>SUMIF(Mercado_Receita!$S$2:$S$508,"44593B1Convencional pré-pagamentoResidencialResidencial baixa renda – faixa 04Não se aplicaNão se aplicaPonta",Mercado_Receita!$L$2:$L$508)+SUMIF(Mercado_Receita!$S$2:$S$508,"44593B1Convencional pré-pagamentoResidencialResidencial baixa renda – faixa 04Não se aplicaNão se aplicaFora ponta",Mercado_Receita!$L$2:$L$508)+SUMIF(Mercado_Receita!$S$2:$S$508,"44593B1Convencional pré-pagamentoResidencialResidencial baixa renda – faixa 04Não se aplicaNão se aplicaIntermediário",Mercado_Receita!$L$2:$L$508)+SUMIF(Mercado_Receita!$S$2:$S$508,"44593B1Convencional pré-pagamentoResidencialResidencial baixa renda – faixa 04Não se aplicaNão se aplicaNão se aplica",Mercado_Receita!$L$2:$L$508)</f>
        <v>0</v>
      </c>
      <c r="O26" s="13">
        <f>SUMIF(Mercado_Receita!$S$2:$S$508,"44621B1Convencional pré-pagamentoResidencialResidencial baixa renda – faixa 04Não se aplicaNão se aplicaPonta",Mercado_Receita!$L$2:$L$508)+SUMIF(Mercado_Receita!$S$2:$S$508,"44621B1Convencional pré-pagamentoResidencialResidencial baixa renda – faixa 04Não se aplicaNão se aplicaFora ponta",Mercado_Receita!$L$2:$L$508)+SUMIF(Mercado_Receita!$S$2:$S$508,"44621B1Convencional pré-pagamentoResidencialResidencial baixa renda – faixa 04Não se aplicaNão se aplicaIntermediário",Mercado_Receita!$L$2:$L$508)+SUMIF(Mercado_Receita!$S$2:$S$508,"44621B1Convencional pré-pagamentoResidencialResidencial baixa renda – faixa 04Não se aplicaNão se aplicaNão se aplica",Mercado_Receita!$L$2:$L$508)</f>
        <v>0</v>
      </c>
      <c r="P26" s="13">
        <f>SUMIF(Mercado_Receita!$S$2:$S$508,"44652B1Convencional pré-pagamentoResidencialResidencial baixa renda – faixa 04Não se aplicaNão se aplicaPonta",Mercado_Receita!$L$2:$L$508)+SUMIF(Mercado_Receita!$S$2:$S$508,"44652B1Convencional pré-pagamentoResidencialResidencial baixa renda – faixa 04Não se aplicaNão se aplicaFora ponta",Mercado_Receita!$L$2:$L$508)+SUMIF(Mercado_Receita!$S$2:$S$508,"44652B1Convencional pré-pagamentoResidencialResidencial baixa renda – faixa 04Não se aplicaNão se aplicaIntermediário",Mercado_Receita!$L$2:$L$508)+SUMIF(Mercado_Receita!$S$2:$S$508,"44652B1Convencional pré-pagamentoResidencialResidencial baixa renda – faixa 04Não se aplicaNão se aplicaNão se aplica",Mercado_Receita!$L$2:$L$508)</f>
        <v>0</v>
      </c>
      <c r="Q26" s="13">
        <f>SUMIF(Mercado_Receita!$S$2:$S$508,"44682B1Convencional pré-pagamentoResidencialResidencial baixa renda – faixa 04Não se aplicaNão se aplicaPonta",Mercado_Receita!$L$2:$L$508)+SUMIF(Mercado_Receita!$S$2:$S$508,"44682B1Convencional pré-pagamentoResidencialResidencial baixa renda – faixa 04Não se aplicaNão se aplicaFora ponta",Mercado_Receita!$L$2:$L$508)+SUMIF(Mercado_Receita!$S$2:$S$508,"44682B1Convencional pré-pagamentoResidencialResidencial baixa renda – faixa 04Não se aplicaNão se aplicaIntermediário",Mercado_Receita!$L$2:$L$508)+SUMIF(Mercado_Receita!$S$2:$S$508,"44682B1Convencional pré-pagamentoResidencialResidencial baixa renda – faixa 04Não se aplicaNão se aplicaNão se aplica",Mercado_Receita!$L$2:$L$508)</f>
        <v>0</v>
      </c>
      <c r="R26" s="13">
        <f>SUMIF(Mercado_Receita!$S$2:$S$508,"44713B1Convencional pré-pagamentoResidencialResidencial baixa renda – faixa 04Não se aplicaNão se aplicaPonta",Mercado_Receita!$L$2:$L$508)+SUMIF(Mercado_Receita!$S$2:$S$508,"44713B1Convencional pré-pagamentoResidencialResidencial baixa renda – faixa 04Não se aplicaNão se aplicaFora ponta",Mercado_Receita!$L$2:$L$508)+SUMIF(Mercado_Receita!$S$2:$S$508,"44713B1Convencional pré-pagamentoResidencialResidencial baixa renda – faixa 04Não se aplicaNão se aplicaIntermediário",Mercado_Receita!$L$2:$L$508)+SUMIF(Mercado_Receita!$S$2:$S$508,"44713B1Convencional pré-pagamentoResidencialResidencial baixa renda – faixa 04Não se aplicaNão se aplicaNão se aplica",Mercado_Receita!$L$2:$L$508)</f>
        <v>0</v>
      </c>
      <c r="S26" s="13">
        <f>SUMIF(Mercado_Receita!$S$2:$S$508,"44743B1Convencional pré-pagamentoResidencialResidencial baixa renda – faixa 04Não se aplicaNão se aplicaPonta",Mercado_Receita!$L$2:$L$508)+SUMIF(Mercado_Receita!$S$2:$S$508,"44743B1Convencional pré-pagamentoResidencialResidencial baixa renda – faixa 04Não se aplicaNão se aplicaFora ponta",Mercado_Receita!$L$2:$L$508)+SUMIF(Mercado_Receita!$S$2:$S$508,"44743B1Convencional pré-pagamentoResidencialResidencial baixa renda – faixa 04Não se aplicaNão se aplicaIntermediário",Mercado_Receita!$L$2:$L$508)+SUMIF(Mercado_Receita!$S$2:$S$508,"44743B1Convencional pré-pagamentoResidencialResidencial baixa renda – faixa 04Não se aplicaNão se aplicaNão se aplica",Mercado_Receita!$L$2:$L$508)</f>
        <v>0</v>
      </c>
      <c r="T26" s="13">
        <f>SUMIF(Mercado_Receita!$S$2:$S$508,"44774B1Convencional pré-pagamentoResidencialResidencial baixa renda – faixa 04Não se aplicaNão se aplicaPonta",Mercado_Receita!$L$2:$L$508)+SUMIF(Mercado_Receita!$S$2:$S$508,"44774B1Convencional pré-pagamentoResidencialResidencial baixa renda – faixa 04Não se aplicaNão se aplicaFora ponta",Mercado_Receita!$L$2:$L$508)+SUMIF(Mercado_Receita!$S$2:$S$508,"44774B1Convencional pré-pagamentoResidencialResidencial baixa renda – faixa 04Não se aplicaNão se aplicaIntermediário",Mercado_Receita!$L$2:$L$508)+SUMIF(Mercado_Receita!$S$2:$S$508,"44774B1Convencional pré-pagamentoResidencialResidencial baixa renda – faixa 04Não se aplicaNão se aplicaNão se aplica",Mercado_Receita!$L$2:$L$508)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6" t="s">
        <v>40</v>
      </c>
      <c r="B27" s="86" t="s">
        <v>87</v>
      </c>
      <c r="C27" s="86" t="s">
        <v>41</v>
      </c>
      <c r="D27" s="86" t="s">
        <v>25</v>
      </c>
      <c r="E27" s="86" t="s">
        <v>25</v>
      </c>
      <c r="F27" s="86" t="s">
        <v>25</v>
      </c>
      <c r="G27" s="13" t="s">
        <v>74</v>
      </c>
      <c r="H27" s="13" t="s">
        <v>73</v>
      </c>
      <c r="I27" s="13">
        <f>SUMIF(Mercado_Receita!$S$2:$S$508,"44440B2BrancaRuralNão se aplicaNão se aplicaNão se aplicaPonta",Mercado_Receita!$L$2:$L$508)</f>
        <v>0</v>
      </c>
      <c r="J27" s="13">
        <f>SUMIF(Mercado_Receita!$S$2:$S$508,"44470B2BrancaRuralNão se aplicaNão se aplicaNão se aplicaPonta",Mercado_Receita!$L$2:$L$508)</f>
        <v>0</v>
      </c>
      <c r="K27" s="13">
        <f>SUMIF(Mercado_Receita!$S$2:$S$508,"44501B2BrancaRuralNão se aplicaNão se aplicaNão se aplicaPonta",Mercado_Receita!$L$2:$L$508)</f>
        <v>0</v>
      </c>
      <c r="L27" s="13">
        <f>SUMIF(Mercado_Receita!$S$2:$S$508,"44531B2BrancaRuralNão se aplicaNão se aplicaNão se aplicaPonta",Mercado_Receita!$L$2:$L$508)</f>
        <v>0</v>
      </c>
      <c r="M27" s="13">
        <f>SUMIF(Mercado_Receita!$S$2:$S$508,"44562B2BrancaRuralNão se aplicaNão se aplicaNão se aplicaPonta",Mercado_Receita!$L$2:$L$508)</f>
        <v>0</v>
      </c>
      <c r="N27" s="13">
        <f>SUMIF(Mercado_Receita!$S$2:$S$508,"44593B2BrancaRuralNão se aplicaNão se aplicaNão se aplicaPonta",Mercado_Receita!$L$2:$L$508)</f>
        <v>0</v>
      </c>
      <c r="O27" s="13">
        <f>SUMIF(Mercado_Receita!$S$2:$S$508,"44621B2BrancaRuralNão se aplicaNão se aplicaNão se aplicaPonta",Mercado_Receita!$L$2:$L$508)</f>
        <v>0</v>
      </c>
      <c r="P27" s="13">
        <f>SUMIF(Mercado_Receita!$S$2:$S$508,"44652B2BrancaRuralNão se aplicaNão se aplicaNão se aplicaPonta",Mercado_Receita!$L$2:$L$508)</f>
        <v>0</v>
      </c>
      <c r="Q27" s="13">
        <f>SUMIF(Mercado_Receita!$S$2:$S$508,"44682B2BrancaRuralNão se aplicaNão se aplicaNão se aplicaPonta",Mercado_Receita!$L$2:$L$508)</f>
        <v>0</v>
      </c>
      <c r="R27" s="13">
        <f>SUMIF(Mercado_Receita!$S$2:$S$508,"44713B2BrancaRuralNão se aplicaNão se aplicaNão se aplicaPonta",Mercado_Receita!$L$2:$L$508)</f>
        <v>0</v>
      </c>
      <c r="S27" s="13">
        <f>SUMIF(Mercado_Receita!$S$2:$S$508,"44743B2BrancaRuralNão se aplicaNão se aplicaNão se aplicaPonta",Mercado_Receita!$L$2:$L$508)</f>
        <v>0</v>
      </c>
      <c r="T27" s="13">
        <f>SUMIF(Mercado_Receita!$S$2:$S$508,"44774B2BrancaRuralNão se aplicaNão se aplicaNão se aplicaPonta",Mercado_Receita!$L$2:$L$508)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7"/>
      <c r="B28" s="87"/>
      <c r="C28" s="87"/>
      <c r="D28" s="87"/>
      <c r="E28" s="87"/>
      <c r="F28" s="87"/>
      <c r="G28" s="13" t="s">
        <v>85</v>
      </c>
      <c r="H28" s="13" t="s">
        <v>73</v>
      </c>
      <c r="I28" s="13">
        <f>SUMIF(Mercado_Receita!$S$2:$S$508,"44440B2BrancaRuralNão se aplicaNão se aplicaNão se aplicaIntermediário",Mercado_Receita!$L$2:$L$508)</f>
        <v>0</v>
      </c>
      <c r="J28" s="13">
        <f>SUMIF(Mercado_Receita!$S$2:$S$508,"44470B2BrancaRuralNão se aplicaNão se aplicaNão se aplicaIntermediário",Mercado_Receita!$L$2:$L$508)</f>
        <v>0</v>
      </c>
      <c r="K28" s="13">
        <f>SUMIF(Mercado_Receita!$S$2:$S$508,"44501B2BrancaRuralNão se aplicaNão se aplicaNão se aplicaIntermediário",Mercado_Receita!$L$2:$L$508)</f>
        <v>0</v>
      </c>
      <c r="L28" s="13">
        <f>SUMIF(Mercado_Receita!$S$2:$S$508,"44531B2BrancaRuralNão se aplicaNão se aplicaNão se aplicaIntermediário",Mercado_Receita!$L$2:$L$508)</f>
        <v>0</v>
      </c>
      <c r="M28" s="13">
        <f>SUMIF(Mercado_Receita!$S$2:$S$508,"44562B2BrancaRuralNão se aplicaNão se aplicaNão se aplicaIntermediário",Mercado_Receita!$L$2:$L$508)</f>
        <v>0</v>
      </c>
      <c r="N28" s="13">
        <f>SUMIF(Mercado_Receita!$S$2:$S$508,"44593B2BrancaRuralNão se aplicaNão se aplicaNão se aplicaIntermediário",Mercado_Receita!$L$2:$L$508)</f>
        <v>0</v>
      </c>
      <c r="O28" s="13">
        <f>SUMIF(Mercado_Receita!$S$2:$S$508,"44621B2BrancaRuralNão se aplicaNão se aplicaNão se aplicaIntermediário",Mercado_Receita!$L$2:$L$508)</f>
        <v>0</v>
      </c>
      <c r="P28" s="13">
        <f>SUMIF(Mercado_Receita!$S$2:$S$508,"44652B2BrancaRuralNão se aplicaNão se aplicaNão se aplicaIntermediário",Mercado_Receita!$L$2:$L$508)</f>
        <v>0</v>
      </c>
      <c r="Q28" s="13">
        <f>SUMIF(Mercado_Receita!$S$2:$S$508,"44682B2BrancaRuralNão se aplicaNão se aplicaNão se aplicaIntermediário",Mercado_Receita!$L$2:$L$508)</f>
        <v>0</v>
      </c>
      <c r="R28" s="13">
        <f>SUMIF(Mercado_Receita!$S$2:$S$508,"44713B2BrancaRuralNão se aplicaNão se aplicaNão se aplicaIntermediário",Mercado_Receita!$L$2:$L$508)</f>
        <v>0</v>
      </c>
      <c r="S28" s="13">
        <f>SUMIF(Mercado_Receita!$S$2:$S$508,"44743B2BrancaRuralNão se aplicaNão se aplicaNão se aplicaIntermediário",Mercado_Receita!$L$2:$L$508)</f>
        <v>0</v>
      </c>
      <c r="T28" s="13">
        <f>SUMIF(Mercado_Receita!$S$2:$S$508,"44774B2BrancaRuralNão se aplicaNão se aplicaNão se aplicaIntermediário",Mercado_Receita!$L$2:$L$508)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7"/>
      <c r="B29" s="87"/>
      <c r="C29" s="87"/>
      <c r="D29" s="87"/>
      <c r="E29" s="87"/>
      <c r="F29" s="87"/>
      <c r="G29" s="13" t="s">
        <v>75</v>
      </c>
      <c r="H29" s="13" t="s">
        <v>73</v>
      </c>
      <c r="I29" s="13">
        <f>SUMIF(Mercado_Receita!$S$2:$S$508,"44440B2BrancaRuralNão se aplicaNão se aplicaNão se aplicaFora ponta",Mercado_Receita!$L$2:$L$508)</f>
        <v>0</v>
      </c>
      <c r="J29" s="13">
        <f>SUMIF(Mercado_Receita!$S$2:$S$508,"44470B2BrancaRuralNão se aplicaNão se aplicaNão se aplicaFora ponta",Mercado_Receita!$L$2:$L$508)</f>
        <v>0</v>
      </c>
      <c r="K29" s="13">
        <f>SUMIF(Mercado_Receita!$S$2:$S$508,"44501B2BrancaRuralNão se aplicaNão se aplicaNão se aplicaFora ponta",Mercado_Receita!$L$2:$L$508)</f>
        <v>0</v>
      </c>
      <c r="L29" s="13">
        <f>SUMIF(Mercado_Receita!$S$2:$S$508,"44531B2BrancaRuralNão se aplicaNão se aplicaNão se aplicaFora ponta",Mercado_Receita!$L$2:$L$508)</f>
        <v>0</v>
      </c>
      <c r="M29" s="13">
        <f>SUMIF(Mercado_Receita!$S$2:$S$508,"44562B2BrancaRuralNão se aplicaNão se aplicaNão se aplicaFora ponta",Mercado_Receita!$L$2:$L$508)</f>
        <v>0</v>
      </c>
      <c r="N29" s="13">
        <f>SUMIF(Mercado_Receita!$S$2:$S$508,"44593B2BrancaRuralNão se aplicaNão se aplicaNão se aplicaFora ponta",Mercado_Receita!$L$2:$L$508)</f>
        <v>0</v>
      </c>
      <c r="O29" s="13">
        <f>SUMIF(Mercado_Receita!$S$2:$S$508,"44621B2BrancaRuralNão se aplicaNão se aplicaNão se aplicaFora ponta",Mercado_Receita!$L$2:$L$508)</f>
        <v>0</v>
      </c>
      <c r="P29" s="13">
        <f>SUMIF(Mercado_Receita!$S$2:$S$508,"44652B2BrancaRuralNão se aplicaNão se aplicaNão se aplicaFora ponta",Mercado_Receita!$L$2:$L$508)</f>
        <v>0</v>
      </c>
      <c r="Q29" s="13">
        <f>SUMIF(Mercado_Receita!$S$2:$S$508,"44682B2BrancaRuralNão se aplicaNão se aplicaNão se aplicaFora ponta",Mercado_Receita!$L$2:$L$508)</f>
        <v>0</v>
      </c>
      <c r="R29" s="13">
        <f>SUMIF(Mercado_Receita!$S$2:$S$508,"44713B2BrancaRuralNão se aplicaNão se aplicaNão se aplicaFora ponta",Mercado_Receita!$L$2:$L$508)</f>
        <v>0</v>
      </c>
      <c r="S29" s="13">
        <f>SUMIF(Mercado_Receita!$S$2:$S$508,"44743B2BrancaRuralNão se aplicaNão se aplicaNão se aplicaFora ponta",Mercado_Receita!$L$2:$L$508)</f>
        <v>0</v>
      </c>
      <c r="T29" s="13">
        <f>SUMIF(Mercado_Receita!$S$2:$S$508,"44774B2BrancaRuralNão se aplicaNão se aplicaNão se aplicaFora ponta",Mercado_Receita!$L$2:$L$508)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7"/>
      <c r="B30" s="12" t="s">
        <v>23</v>
      </c>
      <c r="C30" s="12" t="s">
        <v>41</v>
      </c>
      <c r="D30" s="12" t="s">
        <v>25</v>
      </c>
      <c r="E30" s="12" t="s">
        <v>25</v>
      </c>
      <c r="F30" s="12" t="s">
        <v>25</v>
      </c>
      <c r="G30" s="13" t="s">
        <v>79</v>
      </c>
      <c r="H30" s="13" t="s">
        <v>73</v>
      </c>
      <c r="I30" s="13">
        <f>SUMIF(Mercado_Receita!$S$2:$S$508,"44440B2ConvencionalRuralNão se aplicaNão se aplicaNão se aplicaPonta",Mercado_Receita!$L$2:$L$508)+SUMIF(Mercado_Receita!$S$2:$S$508,"44440B2ConvencionalRuralNão se aplicaNão se aplicaNão se aplicaFora ponta",Mercado_Receita!$L$2:$L$508)+SUMIF(Mercado_Receita!$S$2:$S$508,"44440B2ConvencionalRuralNão se aplicaNão se aplicaNão se aplicaIntermediário",Mercado_Receita!$L$2:$L$508)+SUMIF(Mercado_Receita!$S$2:$S$508,"44440B2ConvencionalRuralNão se aplicaNão se aplicaNão se aplicaNão se aplica",Mercado_Receita!$L$2:$L$508)</f>
        <v>602.65800000000002</v>
      </c>
      <c r="J30" s="13">
        <f>SUMIF(Mercado_Receita!$S$2:$S$508,"44470B2ConvencionalRuralNão se aplicaNão se aplicaNão se aplicaPonta",Mercado_Receita!$L$2:$L$508)+SUMIF(Mercado_Receita!$S$2:$S$508,"44470B2ConvencionalRuralNão se aplicaNão se aplicaNão se aplicaFora ponta",Mercado_Receita!$L$2:$L$508)+SUMIF(Mercado_Receita!$S$2:$S$508,"44470B2ConvencionalRuralNão se aplicaNão se aplicaNão se aplicaIntermediário",Mercado_Receita!$L$2:$L$508)+SUMIF(Mercado_Receita!$S$2:$S$508,"44470B2ConvencionalRuralNão se aplicaNão se aplicaNão se aplicaNão se aplica",Mercado_Receita!$L$2:$L$508)</f>
        <v>662.21799999999996</v>
      </c>
      <c r="K30" s="13">
        <f>SUMIF(Mercado_Receita!$S$2:$S$508,"44501B2ConvencionalRuralNão se aplicaNão se aplicaNão se aplicaPonta",Mercado_Receita!$L$2:$L$508)+SUMIF(Mercado_Receita!$S$2:$S$508,"44501B2ConvencionalRuralNão se aplicaNão se aplicaNão se aplicaFora ponta",Mercado_Receita!$L$2:$L$508)+SUMIF(Mercado_Receita!$S$2:$S$508,"44501B2ConvencionalRuralNão se aplicaNão se aplicaNão se aplicaIntermediário",Mercado_Receita!$L$2:$L$508)+SUMIF(Mercado_Receita!$S$2:$S$508,"44501B2ConvencionalRuralNão se aplicaNão se aplicaNão se aplicaNão se aplica",Mercado_Receita!$L$2:$L$508)</f>
        <v>360.75099999999998</v>
      </c>
      <c r="L30" s="13">
        <f>SUMIF(Mercado_Receita!$S$2:$S$508,"44531B2ConvencionalRuralNão se aplicaNão se aplicaNão se aplicaPonta",Mercado_Receita!$L$2:$L$508)+SUMIF(Mercado_Receita!$S$2:$S$508,"44531B2ConvencionalRuralNão se aplicaNão se aplicaNão se aplicaFora ponta",Mercado_Receita!$L$2:$L$508)+SUMIF(Mercado_Receita!$S$2:$S$508,"44531B2ConvencionalRuralNão se aplicaNão se aplicaNão se aplicaIntermediário",Mercado_Receita!$L$2:$L$508)+SUMIF(Mercado_Receita!$S$2:$S$508,"44531B2ConvencionalRuralNão se aplicaNão se aplicaNão se aplicaNão se aplica",Mercado_Receita!$L$2:$L$508)</f>
        <v>338.05799999999994</v>
      </c>
      <c r="M30" s="13">
        <f>SUMIF(Mercado_Receita!$S$2:$S$508,"44562B2ConvencionalRuralNão se aplicaNão se aplicaNão se aplicaPonta",Mercado_Receita!$L$2:$L$508)+SUMIF(Mercado_Receita!$S$2:$S$508,"44562B2ConvencionalRuralNão se aplicaNão se aplicaNão se aplicaFora ponta",Mercado_Receita!$L$2:$L$508)+SUMIF(Mercado_Receita!$S$2:$S$508,"44562B2ConvencionalRuralNão se aplicaNão se aplicaNão se aplicaIntermediário",Mercado_Receita!$L$2:$L$508)+SUMIF(Mercado_Receita!$S$2:$S$508,"44562B2ConvencionalRuralNão se aplicaNão se aplicaNão se aplicaNão se aplica",Mercado_Receita!$L$2:$L$508)</f>
        <v>297.20199999999994</v>
      </c>
      <c r="N30" s="13">
        <f>SUMIF(Mercado_Receita!$S$2:$S$508,"44593B2ConvencionalRuralNão se aplicaNão se aplicaNão se aplicaPonta",Mercado_Receita!$L$2:$L$508)+SUMIF(Mercado_Receita!$S$2:$S$508,"44593B2ConvencionalRuralNão se aplicaNão se aplicaNão se aplicaFora ponta",Mercado_Receita!$L$2:$L$508)+SUMIF(Mercado_Receita!$S$2:$S$508,"44593B2ConvencionalRuralNão se aplicaNão se aplicaNão se aplicaIntermediário",Mercado_Receita!$L$2:$L$508)+SUMIF(Mercado_Receita!$S$2:$S$508,"44593B2ConvencionalRuralNão se aplicaNão se aplicaNão se aplicaNão se aplica",Mercado_Receita!$L$2:$L$508)</f>
        <v>300.19300000000004</v>
      </c>
      <c r="O30" s="13">
        <f>SUMIF(Mercado_Receita!$S$2:$S$508,"44621B2ConvencionalRuralNão se aplicaNão se aplicaNão se aplicaPonta",Mercado_Receita!$L$2:$L$508)+SUMIF(Mercado_Receita!$S$2:$S$508,"44621B2ConvencionalRuralNão se aplicaNão se aplicaNão se aplicaFora ponta",Mercado_Receita!$L$2:$L$508)+SUMIF(Mercado_Receita!$S$2:$S$508,"44621B2ConvencionalRuralNão se aplicaNão se aplicaNão se aplicaIntermediário",Mercado_Receita!$L$2:$L$508)+SUMIF(Mercado_Receita!$S$2:$S$508,"44621B2ConvencionalRuralNão se aplicaNão se aplicaNão se aplicaNão se aplica",Mercado_Receita!$L$2:$L$508)</f>
        <v>316.70300000000003</v>
      </c>
      <c r="P30" s="13">
        <f>SUMIF(Mercado_Receita!$S$2:$S$508,"44652B2ConvencionalRuralNão se aplicaNão se aplicaNão se aplicaPonta",Mercado_Receita!$L$2:$L$508)+SUMIF(Mercado_Receita!$S$2:$S$508,"44652B2ConvencionalRuralNão se aplicaNão se aplicaNão se aplicaFora ponta",Mercado_Receita!$L$2:$L$508)+SUMIF(Mercado_Receita!$S$2:$S$508,"44652B2ConvencionalRuralNão se aplicaNão se aplicaNão se aplicaIntermediário",Mercado_Receita!$L$2:$L$508)+SUMIF(Mercado_Receita!$S$2:$S$508,"44652B2ConvencionalRuralNão se aplicaNão se aplicaNão se aplicaNão se aplica",Mercado_Receita!$L$2:$L$508)</f>
        <v>322.41399999999999</v>
      </c>
      <c r="Q30" s="13">
        <f>SUMIF(Mercado_Receita!$S$2:$S$508,"44682B2ConvencionalRuralNão se aplicaNão se aplicaNão se aplicaPonta",Mercado_Receita!$L$2:$L$508)+SUMIF(Mercado_Receita!$S$2:$S$508,"44682B2ConvencionalRuralNão se aplicaNão se aplicaNão se aplicaFora ponta",Mercado_Receita!$L$2:$L$508)+SUMIF(Mercado_Receita!$S$2:$S$508,"44682B2ConvencionalRuralNão se aplicaNão se aplicaNão se aplicaIntermediário",Mercado_Receita!$L$2:$L$508)+SUMIF(Mercado_Receita!$S$2:$S$508,"44682B2ConvencionalRuralNão se aplicaNão se aplicaNão se aplicaNão se aplica",Mercado_Receita!$L$2:$L$508)</f>
        <v>466.96600000000001</v>
      </c>
      <c r="R30" s="13">
        <f>SUMIF(Mercado_Receita!$S$2:$S$508,"44713B2ConvencionalRuralNão se aplicaNão se aplicaNão se aplicaPonta",Mercado_Receita!$L$2:$L$508)+SUMIF(Mercado_Receita!$S$2:$S$508,"44713B2ConvencionalRuralNão se aplicaNão se aplicaNão se aplicaFora ponta",Mercado_Receita!$L$2:$L$508)+SUMIF(Mercado_Receita!$S$2:$S$508,"44713B2ConvencionalRuralNão se aplicaNão se aplicaNão se aplicaIntermediário",Mercado_Receita!$L$2:$L$508)+SUMIF(Mercado_Receita!$S$2:$S$508,"44713B2ConvencionalRuralNão se aplicaNão se aplicaNão se aplicaNão se aplica",Mercado_Receita!$L$2:$L$508)</f>
        <v>454.673</v>
      </c>
      <c r="S30" s="13">
        <f>SUMIF(Mercado_Receita!$S$2:$S$508,"44743B2ConvencionalRuralNão se aplicaNão se aplicaNão se aplicaPonta",Mercado_Receita!$L$2:$L$508)+SUMIF(Mercado_Receita!$S$2:$S$508,"44743B2ConvencionalRuralNão se aplicaNão se aplicaNão se aplicaFora ponta",Mercado_Receita!$L$2:$L$508)+SUMIF(Mercado_Receita!$S$2:$S$508,"44743B2ConvencionalRuralNão se aplicaNão se aplicaNão se aplicaIntermediário",Mercado_Receita!$L$2:$L$508)+SUMIF(Mercado_Receita!$S$2:$S$508,"44743B2ConvencionalRuralNão se aplicaNão se aplicaNão se aplicaNão se aplica",Mercado_Receita!$L$2:$L$508)</f>
        <v>429.13799999999998</v>
      </c>
      <c r="T30" s="13">
        <f>SUMIF(Mercado_Receita!$S$2:$S$508,"44774B2ConvencionalRuralNão se aplicaNão se aplicaNão se aplicaPonta",Mercado_Receita!$L$2:$L$508)+SUMIF(Mercado_Receita!$S$2:$S$508,"44774B2ConvencionalRuralNão se aplicaNão se aplicaNão se aplicaFora ponta",Mercado_Receita!$L$2:$L$508)+SUMIF(Mercado_Receita!$S$2:$S$508,"44774B2ConvencionalRuralNão se aplicaNão se aplicaNão se aplicaIntermediário",Mercado_Receita!$L$2:$L$508)+SUMIF(Mercado_Receita!$S$2:$S$508,"44774B2ConvencionalRuralNão se aplicaNão se aplicaNão se aplicaNão se aplica",Mercado_Receita!$L$2:$L$508)</f>
        <v>515.81999999999994</v>
      </c>
      <c r="U30" s="13">
        <f t="shared" si="0"/>
        <v>5066.7939999999999</v>
      </c>
      <c r="V30" s="13"/>
      <c r="W30" s="13"/>
    </row>
    <row r="31" spans="1:23" ht="11.25" customHeight="1" x14ac:dyDescent="0.25">
      <c r="A31" s="87"/>
      <c r="B31" s="86" t="s">
        <v>87</v>
      </c>
      <c r="C31" s="86" t="s">
        <v>41</v>
      </c>
      <c r="D31" s="86" t="s">
        <v>90</v>
      </c>
      <c r="E31" s="86" t="s">
        <v>25</v>
      </c>
      <c r="F31" s="86" t="s">
        <v>25</v>
      </c>
      <c r="G31" s="13" t="s">
        <v>74</v>
      </c>
      <c r="H31" s="13" t="s">
        <v>73</v>
      </c>
      <c r="I31" s="13">
        <f>SUMIF(Mercado_Receita!$S$2:$S$508,"44440B2BrancaRuralCooperativa de eletrificação ruralNão se aplicaNão se aplicaPonta",Mercado_Receita!$L$2:$L$508)</f>
        <v>0</v>
      </c>
      <c r="J31" s="13">
        <f>SUMIF(Mercado_Receita!$S$2:$S$508,"44470B2BrancaRuralCooperativa de eletrificação ruralNão se aplicaNão se aplicaPonta",Mercado_Receita!$L$2:$L$508)</f>
        <v>0</v>
      </c>
      <c r="K31" s="13">
        <f>SUMIF(Mercado_Receita!$S$2:$S$508,"44501B2BrancaRuralCooperativa de eletrificação ruralNão se aplicaNão se aplicaPonta",Mercado_Receita!$L$2:$L$508)</f>
        <v>0</v>
      </c>
      <c r="L31" s="13">
        <f>SUMIF(Mercado_Receita!$S$2:$S$508,"44531B2BrancaRuralCooperativa de eletrificação ruralNão se aplicaNão se aplicaPonta",Mercado_Receita!$L$2:$L$508)</f>
        <v>0</v>
      </c>
      <c r="M31" s="13">
        <f>SUMIF(Mercado_Receita!$S$2:$S$508,"44562B2BrancaRuralCooperativa de eletrificação ruralNão se aplicaNão se aplicaPonta",Mercado_Receita!$L$2:$L$508)</f>
        <v>0</v>
      </c>
      <c r="N31" s="13">
        <f>SUMIF(Mercado_Receita!$S$2:$S$508,"44593B2BrancaRuralCooperativa de eletrificação ruralNão se aplicaNão se aplicaPonta",Mercado_Receita!$L$2:$L$508)</f>
        <v>0</v>
      </c>
      <c r="O31" s="13">
        <f>SUMIF(Mercado_Receita!$S$2:$S$508,"44621B2BrancaRuralCooperativa de eletrificação ruralNão se aplicaNão se aplicaPonta",Mercado_Receita!$L$2:$L$508)</f>
        <v>0</v>
      </c>
      <c r="P31" s="13">
        <f>SUMIF(Mercado_Receita!$S$2:$S$508,"44652B2BrancaRuralCooperativa de eletrificação ruralNão se aplicaNão se aplicaPonta",Mercado_Receita!$L$2:$L$508)</f>
        <v>0</v>
      </c>
      <c r="Q31" s="13">
        <f>SUMIF(Mercado_Receita!$S$2:$S$508,"44682B2BrancaRuralCooperativa de eletrificação ruralNão se aplicaNão se aplicaPonta",Mercado_Receita!$L$2:$L$508)</f>
        <v>0</v>
      </c>
      <c r="R31" s="13">
        <f>SUMIF(Mercado_Receita!$S$2:$S$508,"44713B2BrancaRuralCooperativa de eletrificação ruralNão se aplicaNão se aplicaPonta",Mercado_Receita!$L$2:$L$508)</f>
        <v>0</v>
      </c>
      <c r="S31" s="13">
        <f>SUMIF(Mercado_Receita!$S$2:$S$508,"44743B2BrancaRuralCooperativa de eletrificação ruralNão se aplicaNão se aplicaPonta",Mercado_Receita!$L$2:$L$508)</f>
        <v>0</v>
      </c>
      <c r="T31" s="13">
        <f>SUMIF(Mercado_Receita!$S$2:$S$508,"44774B2BrancaRuralCooperativa de eletrificação ruralNão se aplicaNão se aplicaPonta",Mercado_Receita!$L$2:$L$508)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7"/>
      <c r="B32" s="87"/>
      <c r="C32" s="87"/>
      <c r="D32" s="87"/>
      <c r="E32" s="87"/>
      <c r="F32" s="87"/>
      <c r="G32" s="13" t="s">
        <v>85</v>
      </c>
      <c r="H32" s="13" t="s">
        <v>73</v>
      </c>
      <c r="I32" s="13">
        <f>SUMIF(Mercado_Receita!$S$2:$S$508,"44440B2BrancaRuralCooperativa de eletrificação ruralNão se aplicaNão se aplicaIntermediário",Mercado_Receita!$L$2:$L$508)</f>
        <v>0</v>
      </c>
      <c r="J32" s="13">
        <f>SUMIF(Mercado_Receita!$S$2:$S$508,"44470B2BrancaRuralCooperativa de eletrificação ruralNão se aplicaNão se aplicaIntermediário",Mercado_Receita!$L$2:$L$508)</f>
        <v>0</v>
      </c>
      <c r="K32" s="13">
        <f>SUMIF(Mercado_Receita!$S$2:$S$508,"44501B2BrancaRuralCooperativa de eletrificação ruralNão se aplicaNão se aplicaIntermediário",Mercado_Receita!$L$2:$L$508)</f>
        <v>0</v>
      </c>
      <c r="L32" s="13">
        <f>SUMIF(Mercado_Receita!$S$2:$S$508,"44531B2BrancaRuralCooperativa de eletrificação ruralNão se aplicaNão se aplicaIntermediário",Mercado_Receita!$L$2:$L$508)</f>
        <v>0</v>
      </c>
      <c r="M32" s="13">
        <f>SUMIF(Mercado_Receita!$S$2:$S$508,"44562B2BrancaRuralCooperativa de eletrificação ruralNão se aplicaNão se aplicaIntermediário",Mercado_Receita!$L$2:$L$508)</f>
        <v>0</v>
      </c>
      <c r="N32" s="13">
        <f>SUMIF(Mercado_Receita!$S$2:$S$508,"44593B2BrancaRuralCooperativa de eletrificação ruralNão se aplicaNão se aplicaIntermediário",Mercado_Receita!$L$2:$L$508)</f>
        <v>0</v>
      </c>
      <c r="O32" s="13">
        <f>SUMIF(Mercado_Receita!$S$2:$S$508,"44621B2BrancaRuralCooperativa de eletrificação ruralNão se aplicaNão se aplicaIntermediário",Mercado_Receita!$L$2:$L$508)</f>
        <v>0</v>
      </c>
      <c r="P32" s="13">
        <f>SUMIF(Mercado_Receita!$S$2:$S$508,"44652B2BrancaRuralCooperativa de eletrificação ruralNão se aplicaNão se aplicaIntermediário",Mercado_Receita!$L$2:$L$508)</f>
        <v>0</v>
      </c>
      <c r="Q32" s="13">
        <f>SUMIF(Mercado_Receita!$S$2:$S$508,"44682B2BrancaRuralCooperativa de eletrificação ruralNão se aplicaNão se aplicaIntermediário",Mercado_Receita!$L$2:$L$508)</f>
        <v>0</v>
      </c>
      <c r="R32" s="13">
        <f>SUMIF(Mercado_Receita!$S$2:$S$508,"44713B2BrancaRuralCooperativa de eletrificação ruralNão se aplicaNão se aplicaIntermediário",Mercado_Receita!$L$2:$L$508)</f>
        <v>0</v>
      </c>
      <c r="S32" s="13">
        <f>SUMIF(Mercado_Receita!$S$2:$S$508,"44743B2BrancaRuralCooperativa de eletrificação ruralNão se aplicaNão se aplicaIntermediário",Mercado_Receita!$L$2:$L$508)</f>
        <v>0</v>
      </c>
      <c r="T32" s="13">
        <f>SUMIF(Mercado_Receita!$S$2:$S$508,"44774B2BrancaRuralCooperativa de eletrificação ruralNão se aplicaNão se aplicaIntermediário",Mercado_Receita!$L$2:$L$508)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7"/>
      <c r="B33" s="87"/>
      <c r="C33" s="87"/>
      <c r="D33" s="87"/>
      <c r="E33" s="87"/>
      <c r="F33" s="87"/>
      <c r="G33" s="13" t="s">
        <v>75</v>
      </c>
      <c r="H33" s="13" t="s">
        <v>73</v>
      </c>
      <c r="I33" s="13">
        <f>SUMIF(Mercado_Receita!$S$2:$S$508,"44440B2BrancaRuralCooperativa de eletrificação ruralNão se aplicaNão se aplicaFora ponta",Mercado_Receita!$L$2:$L$508)</f>
        <v>0</v>
      </c>
      <c r="J33" s="13">
        <f>SUMIF(Mercado_Receita!$S$2:$S$508,"44470B2BrancaRuralCooperativa de eletrificação ruralNão se aplicaNão se aplicaFora ponta",Mercado_Receita!$L$2:$L$508)</f>
        <v>0</v>
      </c>
      <c r="K33" s="13">
        <f>SUMIF(Mercado_Receita!$S$2:$S$508,"44501B2BrancaRuralCooperativa de eletrificação ruralNão se aplicaNão se aplicaFora ponta",Mercado_Receita!$L$2:$L$508)</f>
        <v>0</v>
      </c>
      <c r="L33" s="13">
        <f>SUMIF(Mercado_Receita!$S$2:$S$508,"44531B2BrancaRuralCooperativa de eletrificação ruralNão se aplicaNão se aplicaFora ponta",Mercado_Receita!$L$2:$L$508)</f>
        <v>0</v>
      </c>
      <c r="M33" s="13">
        <f>SUMIF(Mercado_Receita!$S$2:$S$508,"44562B2BrancaRuralCooperativa de eletrificação ruralNão se aplicaNão se aplicaFora ponta",Mercado_Receita!$L$2:$L$508)</f>
        <v>0</v>
      </c>
      <c r="N33" s="13">
        <f>SUMIF(Mercado_Receita!$S$2:$S$508,"44593B2BrancaRuralCooperativa de eletrificação ruralNão se aplicaNão se aplicaFora ponta",Mercado_Receita!$L$2:$L$508)</f>
        <v>0</v>
      </c>
      <c r="O33" s="13">
        <f>SUMIF(Mercado_Receita!$S$2:$S$508,"44621B2BrancaRuralCooperativa de eletrificação ruralNão se aplicaNão se aplicaFora ponta",Mercado_Receita!$L$2:$L$508)</f>
        <v>0</v>
      </c>
      <c r="P33" s="13">
        <f>SUMIF(Mercado_Receita!$S$2:$S$508,"44652B2BrancaRuralCooperativa de eletrificação ruralNão se aplicaNão se aplicaFora ponta",Mercado_Receita!$L$2:$L$508)</f>
        <v>0</v>
      </c>
      <c r="Q33" s="13">
        <f>SUMIF(Mercado_Receita!$S$2:$S$508,"44682B2BrancaRuralCooperativa de eletrificação ruralNão se aplicaNão se aplicaFora ponta",Mercado_Receita!$L$2:$L$508)</f>
        <v>0</v>
      </c>
      <c r="R33" s="13">
        <f>SUMIF(Mercado_Receita!$S$2:$S$508,"44713B2BrancaRuralCooperativa de eletrificação ruralNão se aplicaNão se aplicaFora ponta",Mercado_Receita!$L$2:$L$508)</f>
        <v>0</v>
      </c>
      <c r="S33" s="13">
        <f>SUMIF(Mercado_Receita!$S$2:$S$508,"44743B2BrancaRuralCooperativa de eletrificação ruralNão se aplicaNão se aplicaFora ponta",Mercado_Receita!$L$2:$L$508)</f>
        <v>0</v>
      </c>
      <c r="T33" s="13">
        <f>SUMIF(Mercado_Receita!$S$2:$S$508,"44774B2BrancaRuralCooperativa de eletrificação ruralNão se aplicaNão se aplicaFora ponta",Mercado_Receita!$L$2:$L$508)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7"/>
      <c r="B34" s="12" t="s">
        <v>23</v>
      </c>
      <c r="C34" s="12" t="s">
        <v>41</v>
      </c>
      <c r="D34" s="12" t="s">
        <v>90</v>
      </c>
      <c r="E34" s="12" t="s">
        <v>25</v>
      </c>
      <c r="F34" s="12" t="s">
        <v>25</v>
      </c>
      <c r="G34" s="13" t="s">
        <v>79</v>
      </c>
      <c r="H34" s="13" t="s">
        <v>73</v>
      </c>
      <c r="I34" s="13">
        <f>SUMIF(Mercado_Receita!$S$2:$S$508,"44440B2ConvencionalRuralCooperativa de eletrificação ruralNão se aplicaNão se aplicaPonta",Mercado_Receita!$L$2:$L$508)+SUMIF(Mercado_Receita!$S$2:$S$508,"44440B2ConvencionalRuralCooperativa de eletrificação ruralNão se aplicaNão se aplicaFora ponta",Mercado_Receita!$L$2:$L$508)+SUMIF(Mercado_Receita!$S$2:$S$508,"44440B2ConvencionalRuralCooperativa de eletrificação ruralNão se aplicaNão se aplicaIntermediário",Mercado_Receita!$L$2:$L$508)+SUMIF(Mercado_Receita!$S$2:$S$508,"44440B2ConvencionalRuralCooperativa de eletrificação ruralNão se aplicaNão se aplicaNão se aplica",Mercado_Receita!$L$2:$L$508)</f>
        <v>0</v>
      </c>
      <c r="J34" s="13">
        <f>SUMIF(Mercado_Receita!$S$2:$S$508,"44470B2ConvencionalRuralCooperativa de eletrificação ruralNão se aplicaNão se aplicaPonta",Mercado_Receita!$L$2:$L$508)+SUMIF(Mercado_Receita!$S$2:$S$508,"44470B2ConvencionalRuralCooperativa de eletrificação ruralNão se aplicaNão se aplicaFora ponta",Mercado_Receita!$L$2:$L$508)+SUMIF(Mercado_Receita!$S$2:$S$508,"44470B2ConvencionalRuralCooperativa de eletrificação ruralNão se aplicaNão se aplicaIntermediário",Mercado_Receita!$L$2:$L$508)+SUMIF(Mercado_Receita!$S$2:$S$508,"44470B2ConvencionalRuralCooperativa de eletrificação ruralNão se aplicaNão se aplicaNão se aplica",Mercado_Receita!$L$2:$L$508)</f>
        <v>0</v>
      </c>
      <c r="K34" s="13">
        <f>SUMIF(Mercado_Receita!$S$2:$S$508,"44501B2ConvencionalRuralCooperativa de eletrificação ruralNão se aplicaNão se aplicaPonta",Mercado_Receita!$L$2:$L$508)+SUMIF(Mercado_Receita!$S$2:$S$508,"44501B2ConvencionalRuralCooperativa de eletrificação ruralNão se aplicaNão se aplicaFora ponta",Mercado_Receita!$L$2:$L$508)+SUMIF(Mercado_Receita!$S$2:$S$508,"44501B2ConvencionalRuralCooperativa de eletrificação ruralNão se aplicaNão se aplicaIntermediário",Mercado_Receita!$L$2:$L$508)+SUMIF(Mercado_Receita!$S$2:$S$508,"44501B2ConvencionalRuralCooperativa de eletrificação ruralNão se aplicaNão se aplicaNão se aplica",Mercado_Receita!$L$2:$L$508)</f>
        <v>0</v>
      </c>
      <c r="L34" s="13">
        <f>SUMIF(Mercado_Receita!$S$2:$S$508,"44531B2ConvencionalRuralCooperativa de eletrificação ruralNão se aplicaNão se aplicaPonta",Mercado_Receita!$L$2:$L$508)+SUMIF(Mercado_Receita!$S$2:$S$508,"44531B2ConvencionalRuralCooperativa de eletrificação ruralNão se aplicaNão se aplicaFora ponta",Mercado_Receita!$L$2:$L$508)+SUMIF(Mercado_Receita!$S$2:$S$508,"44531B2ConvencionalRuralCooperativa de eletrificação ruralNão se aplicaNão se aplicaIntermediário",Mercado_Receita!$L$2:$L$508)+SUMIF(Mercado_Receita!$S$2:$S$508,"44531B2ConvencionalRuralCooperativa de eletrificação ruralNão se aplicaNão se aplicaNão se aplica",Mercado_Receita!$L$2:$L$508)</f>
        <v>0</v>
      </c>
      <c r="M34" s="13">
        <f>SUMIF(Mercado_Receita!$S$2:$S$508,"44562B2ConvencionalRuralCooperativa de eletrificação ruralNão se aplicaNão se aplicaPonta",Mercado_Receita!$L$2:$L$508)+SUMIF(Mercado_Receita!$S$2:$S$508,"44562B2ConvencionalRuralCooperativa de eletrificação ruralNão se aplicaNão se aplicaFora ponta",Mercado_Receita!$L$2:$L$508)+SUMIF(Mercado_Receita!$S$2:$S$508,"44562B2ConvencionalRuralCooperativa de eletrificação ruralNão se aplicaNão se aplicaIntermediário",Mercado_Receita!$L$2:$L$508)+SUMIF(Mercado_Receita!$S$2:$S$508,"44562B2ConvencionalRuralCooperativa de eletrificação ruralNão se aplicaNão se aplicaNão se aplica",Mercado_Receita!$L$2:$L$508)</f>
        <v>0</v>
      </c>
      <c r="N34" s="13">
        <f>SUMIF(Mercado_Receita!$S$2:$S$508,"44593B2ConvencionalRuralCooperativa de eletrificação ruralNão se aplicaNão se aplicaPonta",Mercado_Receita!$L$2:$L$508)+SUMIF(Mercado_Receita!$S$2:$S$508,"44593B2ConvencionalRuralCooperativa de eletrificação ruralNão se aplicaNão se aplicaFora ponta",Mercado_Receita!$L$2:$L$508)+SUMIF(Mercado_Receita!$S$2:$S$508,"44593B2ConvencionalRuralCooperativa de eletrificação ruralNão se aplicaNão se aplicaIntermediário",Mercado_Receita!$L$2:$L$508)+SUMIF(Mercado_Receita!$S$2:$S$508,"44593B2ConvencionalRuralCooperativa de eletrificação ruralNão se aplicaNão se aplicaNão se aplica",Mercado_Receita!$L$2:$L$508)</f>
        <v>0</v>
      </c>
      <c r="O34" s="13">
        <f>SUMIF(Mercado_Receita!$S$2:$S$508,"44621B2ConvencionalRuralCooperativa de eletrificação ruralNão se aplicaNão se aplicaPonta",Mercado_Receita!$L$2:$L$508)+SUMIF(Mercado_Receita!$S$2:$S$508,"44621B2ConvencionalRuralCooperativa de eletrificação ruralNão se aplicaNão se aplicaFora ponta",Mercado_Receita!$L$2:$L$508)+SUMIF(Mercado_Receita!$S$2:$S$508,"44621B2ConvencionalRuralCooperativa de eletrificação ruralNão se aplicaNão se aplicaIntermediário",Mercado_Receita!$L$2:$L$508)+SUMIF(Mercado_Receita!$S$2:$S$508,"44621B2ConvencionalRuralCooperativa de eletrificação ruralNão se aplicaNão se aplicaNão se aplica",Mercado_Receita!$L$2:$L$508)</f>
        <v>0</v>
      </c>
      <c r="P34" s="13">
        <f>SUMIF(Mercado_Receita!$S$2:$S$508,"44652B2ConvencionalRuralCooperativa de eletrificação ruralNão se aplicaNão se aplicaPonta",Mercado_Receita!$L$2:$L$508)+SUMIF(Mercado_Receita!$S$2:$S$508,"44652B2ConvencionalRuralCooperativa de eletrificação ruralNão se aplicaNão se aplicaFora ponta",Mercado_Receita!$L$2:$L$508)+SUMIF(Mercado_Receita!$S$2:$S$508,"44652B2ConvencionalRuralCooperativa de eletrificação ruralNão se aplicaNão se aplicaIntermediário",Mercado_Receita!$L$2:$L$508)+SUMIF(Mercado_Receita!$S$2:$S$508,"44652B2ConvencionalRuralCooperativa de eletrificação ruralNão se aplicaNão se aplicaNão se aplica",Mercado_Receita!$L$2:$L$508)</f>
        <v>0</v>
      </c>
      <c r="Q34" s="13">
        <f>SUMIF(Mercado_Receita!$S$2:$S$508,"44682B2ConvencionalRuralCooperativa de eletrificação ruralNão se aplicaNão se aplicaPonta",Mercado_Receita!$L$2:$L$508)+SUMIF(Mercado_Receita!$S$2:$S$508,"44682B2ConvencionalRuralCooperativa de eletrificação ruralNão se aplicaNão se aplicaFora ponta",Mercado_Receita!$L$2:$L$508)+SUMIF(Mercado_Receita!$S$2:$S$508,"44682B2ConvencionalRuralCooperativa de eletrificação ruralNão se aplicaNão se aplicaIntermediário",Mercado_Receita!$L$2:$L$508)+SUMIF(Mercado_Receita!$S$2:$S$508,"44682B2ConvencionalRuralCooperativa de eletrificação ruralNão se aplicaNão se aplicaNão se aplica",Mercado_Receita!$L$2:$L$508)</f>
        <v>0</v>
      </c>
      <c r="R34" s="13">
        <f>SUMIF(Mercado_Receita!$S$2:$S$508,"44713B2ConvencionalRuralCooperativa de eletrificação ruralNão se aplicaNão se aplicaPonta",Mercado_Receita!$L$2:$L$508)+SUMIF(Mercado_Receita!$S$2:$S$508,"44713B2ConvencionalRuralCooperativa de eletrificação ruralNão se aplicaNão se aplicaFora ponta",Mercado_Receita!$L$2:$L$508)+SUMIF(Mercado_Receita!$S$2:$S$508,"44713B2ConvencionalRuralCooperativa de eletrificação ruralNão se aplicaNão se aplicaIntermediário",Mercado_Receita!$L$2:$L$508)+SUMIF(Mercado_Receita!$S$2:$S$508,"44713B2ConvencionalRuralCooperativa de eletrificação ruralNão se aplicaNão se aplicaNão se aplica",Mercado_Receita!$L$2:$L$508)</f>
        <v>0</v>
      </c>
      <c r="S34" s="13">
        <f>SUMIF(Mercado_Receita!$S$2:$S$508,"44743B2ConvencionalRuralCooperativa de eletrificação ruralNão se aplicaNão se aplicaPonta",Mercado_Receita!$L$2:$L$508)+SUMIF(Mercado_Receita!$S$2:$S$508,"44743B2ConvencionalRuralCooperativa de eletrificação ruralNão se aplicaNão se aplicaFora ponta",Mercado_Receita!$L$2:$L$508)+SUMIF(Mercado_Receita!$S$2:$S$508,"44743B2ConvencionalRuralCooperativa de eletrificação ruralNão se aplicaNão se aplicaIntermediário",Mercado_Receita!$L$2:$L$508)+SUMIF(Mercado_Receita!$S$2:$S$508,"44743B2ConvencionalRuralCooperativa de eletrificação ruralNão se aplicaNão se aplicaNão se aplica",Mercado_Receita!$L$2:$L$508)</f>
        <v>0</v>
      </c>
      <c r="T34" s="13">
        <f>SUMIF(Mercado_Receita!$S$2:$S$508,"44774B2ConvencionalRuralCooperativa de eletrificação ruralNão se aplicaNão se aplicaPonta",Mercado_Receita!$L$2:$L$508)+SUMIF(Mercado_Receita!$S$2:$S$508,"44774B2ConvencionalRuralCooperativa de eletrificação ruralNão se aplicaNão se aplicaFora ponta",Mercado_Receita!$L$2:$L$508)+SUMIF(Mercado_Receita!$S$2:$S$508,"44774B2ConvencionalRuralCooperativa de eletrificação ruralNão se aplicaNão se aplicaIntermediário",Mercado_Receita!$L$2:$L$508)+SUMIF(Mercado_Receita!$S$2:$S$508,"44774B2ConvencionalRuralCooperativa de eletrificação ruralNão se aplicaNão se aplicaNão se aplica",Mercado_Receita!$L$2:$L$508)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7"/>
      <c r="B35" s="86" t="s">
        <v>87</v>
      </c>
      <c r="C35" s="86" t="s">
        <v>41</v>
      </c>
      <c r="D35" s="86" t="s">
        <v>91</v>
      </c>
      <c r="E35" s="86" t="s">
        <v>25</v>
      </c>
      <c r="F35" s="86" t="s">
        <v>25</v>
      </c>
      <c r="G35" s="13" t="s">
        <v>74</v>
      </c>
      <c r="H35" s="13" t="s">
        <v>73</v>
      </c>
      <c r="I35" s="13">
        <f>SUMIF(Mercado_Receita!$S$2:$S$508,"44440B2BrancaRuralServiço público de irrigação ruralNão se aplicaNão se aplicaPonta",Mercado_Receita!$L$2:$L$508)</f>
        <v>0</v>
      </c>
      <c r="J35" s="13">
        <f>SUMIF(Mercado_Receita!$S$2:$S$508,"44470B2BrancaRuralServiço público de irrigação ruralNão se aplicaNão se aplicaPonta",Mercado_Receita!$L$2:$L$508)</f>
        <v>0</v>
      </c>
      <c r="K35" s="13">
        <f>SUMIF(Mercado_Receita!$S$2:$S$508,"44501B2BrancaRuralServiço público de irrigação ruralNão se aplicaNão se aplicaPonta",Mercado_Receita!$L$2:$L$508)</f>
        <v>0</v>
      </c>
      <c r="L35" s="13">
        <f>SUMIF(Mercado_Receita!$S$2:$S$508,"44531B2BrancaRuralServiço público de irrigação ruralNão se aplicaNão se aplicaPonta",Mercado_Receita!$L$2:$L$508)</f>
        <v>0</v>
      </c>
      <c r="M35" s="13">
        <f>SUMIF(Mercado_Receita!$S$2:$S$508,"44562B2BrancaRuralServiço público de irrigação ruralNão se aplicaNão se aplicaPonta",Mercado_Receita!$L$2:$L$508)</f>
        <v>0</v>
      </c>
      <c r="N35" s="13">
        <f>SUMIF(Mercado_Receita!$S$2:$S$508,"44593B2BrancaRuralServiço público de irrigação ruralNão se aplicaNão se aplicaPonta",Mercado_Receita!$L$2:$L$508)</f>
        <v>0</v>
      </c>
      <c r="O35" s="13">
        <f>SUMIF(Mercado_Receita!$S$2:$S$508,"44621B2BrancaRuralServiço público de irrigação ruralNão se aplicaNão se aplicaPonta",Mercado_Receita!$L$2:$L$508)</f>
        <v>0</v>
      </c>
      <c r="P35" s="13">
        <f>SUMIF(Mercado_Receita!$S$2:$S$508,"44652B2BrancaRuralServiço público de irrigação ruralNão se aplicaNão se aplicaPonta",Mercado_Receita!$L$2:$L$508)</f>
        <v>0</v>
      </c>
      <c r="Q35" s="13">
        <f>SUMIF(Mercado_Receita!$S$2:$S$508,"44682B2BrancaRuralServiço público de irrigação ruralNão se aplicaNão se aplicaPonta",Mercado_Receita!$L$2:$L$508)</f>
        <v>0</v>
      </c>
      <c r="R35" s="13">
        <f>SUMIF(Mercado_Receita!$S$2:$S$508,"44713B2BrancaRuralServiço público de irrigação ruralNão se aplicaNão se aplicaPonta",Mercado_Receita!$L$2:$L$508)</f>
        <v>0</v>
      </c>
      <c r="S35" s="13">
        <f>SUMIF(Mercado_Receita!$S$2:$S$508,"44743B2BrancaRuralServiço público de irrigação ruralNão se aplicaNão se aplicaPonta",Mercado_Receita!$L$2:$L$508)</f>
        <v>0</v>
      </c>
      <c r="T35" s="13">
        <f>SUMIF(Mercado_Receita!$S$2:$S$508,"44774B2BrancaRuralServiço público de irrigação ruralNão se aplicaNão se aplicaPonta",Mercado_Receita!$L$2:$L$508)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87"/>
      <c r="B36" s="87"/>
      <c r="C36" s="87"/>
      <c r="D36" s="87"/>
      <c r="E36" s="87"/>
      <c r="F36" s="87"/>
      <c r="G36" s="13" t="s">
        <v>85</v>
      </c>
      <c r="H36" s="13" t="s">
        <v>73</v>
      </c>
      <c r="I36" s="13">
        <f>SUMIF(Mercado_Receita!$S$2:$S$508,"44440B2BrancaRuralServiço público de irrigação ruralNão se aplicaNão se aplicaIntermediário",Mercado_Receita!$L$2:$L$508)</f>
        <v>0</v>
      </c>
      <c r="J36" s="13">
        <f>SUMIF(Mercado_Receita!$S$2:$S$508,"44470B2BrancaRuralServiço público de irrigação ruralNão se aplicaNão se aplicaIntermediário",Mercado_Receita!$L$2:$L$508)</f>
        <v>0</v>
      </c>
      <c r="K36" s="13">
        <f>SUMIF(Mercado_Receita!$S$2:$S$508,"44501B2BrancaRuralServiço público de irrigação ruralNão se aplicaNão se aplicaIntermediário",Mercado_Receita!$L$2:$L$508)</f>
        <v>0</v>
      </c>
      <c r="L36" s="13">
        <f>SUMIF(Mercado_Receita!$S$2:$S$508,"44531B2BrancaRuralServiço público de irrigação ruralNão se aplicaNão se aplicaIntermediário",Mercado_Receita!$L$2:$L$508)</f>
        <v>0</v>
      </c>
      <c r="M36" s="13">
        <f>SUMIF(Mercado_Receita!$S$2:$S$508,"44562B2BrancaRuralServiço público de irrigação ruralNão se aplicaNão se aplicaIntermediário",Mercado_Receita!$L$2:$L$508)</f>
        <v>0</v>
      </c>
      <c r="N36" s="13">
        <f>SUMIF(Mercado_Receita!$S$2:$S$508,"44593B2BrancaRuralServiço público de irrigação ruralNão se aplicaNão se aplicaIntermediário",Mercado_Receita!$L$2:$L$508)</f>
        <v>0</v>
      </c>
      <c r="O36" s="13">
        <f>SUMIF(Mercado_Receita!$S$2:$S$508,"44621B2BrancaRuralServiço público de irrigação ruralNão se aplicaNão se aplicaIntermediário",Mercado_Receita!$L$2:$L$508)</f>
        <v>0</v>
      </c>
      <c r="P36" s="13">
        <f>SUMIF(Mercado_Receita!$S$2:$S$508,"44652B2BrancaRuralServiço público de irrigação ruralNão se aplicaNão se aplicaIntermediário",Mercado_Receita!$L$2:$L$508)</f>
        <v>0</v>
      </c>
      <c r="Q36" s="13">
        <f>SUMIF(Mercado_Receita!$S$2:$S$508,"44682B2BrancaRuralServiço público de irrigação ruralNão se aplicaNão se aplicaIntermediário",Mercado_Receita!$L$2:$L$508)</f>
        <v>0</v>
      </c>
      <c r="R36" s="13">
        <f>SUMIF(Mercado_Receita!$S$2:$S$508,"44713B2BrancaRuralServiço público de irrigação ruralNão se aplicaNão se aplicaIntermediário",Mercado_Receita!$L$2:$L$508)</f>
        <v>0</v>
      </c>
      <c r="S36" s="13">
        <f>SUMIF(Mercado_Receita!$S$2:$S$508,"44743B2BrancaRuralServiço público de irrigação ruralNão se aplicaNão se aplicaIntermediário",Mercado_Receita!$L$2:$L$508)</f>
        <v>0</v>
      </c>
      <c r="T36" s="13">
        <f>SUMIF(Mercado_Receita!$S$2:$S$508,"44774B2BrancaRuralServiço público de irrigação ruralNão se aplicaNão se aplicaIntermediário",Mercado_Receita!$L$2:$L$508)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7"/>
      <c r="B37" s="87"/>
      <c r="C37" s="87"/>
      <c r="D37" s="87"/>
      <c r="E37" s="87"/>
      <c r="F37" s="87"/>
      <c r="G37" s="13" t="s">
        <v>75</v>
      </c>
      <c r="H37" s="13" t="s">
        <v>73</v>
      </c>
      <c r="I37" s="13">
        <f>SUMIF(Mercado_Receita!$S$2:$S$508,"44440B2BrancaRuralServiço público de irrigação ruralNão se aplicaNão se aplicaFora ponta",Mercado_Receita!$L$2:$L$508)</f>
        <v>0</v>
      </c>
      <c r="J37" s="13">
        <f>SUMIF(Mercado_Receita!$S$2:$S$508,"44470B2BrancaRuralServiço público de irrigação ruralNão se aplicaNão se aplicaFora ponta",Mercado_Receita!$L$2:$L$508)</f>
        <v>0</v>
      </c>
      <c r="K37" s="13">
        <f>SUMIF(Mercado_Receita!$S$2:$S$508,"44501B2BrancaRuralServiço público de irrigação ruralNão se aplicaNão se aplicaFora ponta",Mercado_Receita!$L$2:$L$508)</f>
        <v>0</v>
      </c>
      <c r="L37" s="13">
        <f>SUMIF(Mercado_Receita!$S$2:$S$508,"44531B2BrancaRuralServiço público de irrigação ruralNão se aplicaNão se aplicaFora ponta",Mercado_Receita!$L$2:$L$508)</f>
        <v>0</v>
      </c>
      <c r="M37" s="13">
        <f>SUMIF(Mercado_Receita!$S$2:$S$508,"44562B2BrancaRuralServiço público de irrigação ruralNão se aplicaNão se aplicaFora ponta",Mercado_Receita!$L$2:$L$508)</f>
        <v>0</v>
      </c>
      <c r="N37" s="13">
        <f>SUMIF(Mercado_Receita!$S$2:$S$508,"44593B2BrancaRuralServiço público de irrigação ruralNão se aplicaNão se aplicaFora ponta",Mercado_Receita!$L$2:$L$508)</f>
        <v>0</v>
      </c>
      <c r="O37" s="13">
        <f>SUMIF(Mercado_Receita!$S$2:$S$508,"44621B2BrancaRuralServiço público de irrigação ruralNão se aplicaNão se aplicaFora ponta",Mercado_Receita!$L$2:$L$508)</f>
        <v>0</v>
      </c>
      <c r="P37" s="13">
        <f>SUMIF(Mercado_Receita!$S$2:$S$508,"44652B2BrancaRuralServiço público de irrigação ruralNão se aplicaNão se aplicaFora ponta",Mercado_Receita!$L$2:$L$508)</f>
        <v>0</v>
      </c>
      <c r="Q37" s="13">
        <f>SUMIF(Mercado_Receita!$S$2:$S$508,"44682B2BrancaRuralServiço público de irrigação ruralNão se aplicaNão se aplicaFora ponta",Mercado_Receita!$L$2:$L$508)</f>
        <v>0</v>
      </c>
      <c r="R37" s="13">
        <f>SUMIF(Mercado_Receita!$S$2:$S$508,"44713B2BrancaRuralServiço público de irrigação ruralNão se aplicaNão se aplicaFora ponta",Mercado_Receita!$L$2:$L$508)</f>
        <v>0</v>
      </c>
      <c r="S37" s="13">
        <f>SUMIF(Mercado_Receita!$S$2:$S$508,"44743B2BrancaRuralServiço público de irrigação ruralNão se aplicaNão se aplicaFora ponta",Mercado_Receita!$L$2:$L$508)</f>
        <v>0</v>
      </c>
      <c r="T37" s="13">
        <f>SUMIF(Mercado_Receita!$S$2:$S$508,"44774B2BrancaRuralServiço público de irrigação ruralNão se aplicaNão se aplicaFora ponta",Mercado_Receita!$L$2:$L$508)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87"/>
      <c r="B38" s="12" t="s">
        <v>23</v>
      </c>
      <c r="C38" s="12" t="s">
        <v>41</v>
      </c>
      <c r="D38" s="12" t="s">
        <v>91</v>
      </c>
      <c r="E38" s="12" t="s">
        <v>25</v>
      </c>
      <c r="F38" s="12" t="s">
        <v>25</v>
      </c>
      <c r="G38" s="13" t="s">
        <v>79</v>
      </c>
      <c r="H38" s="13" t="s">
        <v>73</v>
      </c>
      <c r="I38" s="13">
        <f>SUMIF(Mercado_Receita!$S$2:$S$508,"44440B2ConvencionalRuralServiço público de irrigação ruralNão se aplicaNão se aplicaPonta",Mercado_Receita!$L$2:$L$508)+SUMIF(Mercado_Receita!$S$2:$S$508,"44440B2ConvencionalRuralServiço público de irrigação ruralNão se aplicaNão se aplicaFora ponta",Mercado_Receita!$L$2:$L$508)+SUMIF(Mercado_Receita!$S$2:$S$508,"44440B2ConvencionalRuralServiço público de irrigação ruralNão se aplicaNão se aplicaIntermediário",Mercado_Receita!$L$2:$L$508)+SUMIF(Mercado_Receita!$S$2:$S$508,"44440B2ConvencionalRuralServiço público de irrigação ruralNão se aplicaNão se aplicaNão se aplica",Mercado_Receita!$L$2:$L$508)</f>
        <v>0</v>
      </c>
      <c r="J38" s="13">
        <f>SUMIF(Mercado_Receita!$S$2:$S$508,"44470B2ConvencionalRuralServiço público de irrigação ruralNão se aplicaNão se aplicaPonta",Mercado_Receita!$L$2:$L$508)+SUMIF(Mercado_Receita!$S$2:$S$508,"44470B2ConvencionalRuralServiço público de irrigação ruralNão se aplicaNão se aplicaFora ponta",Mercado_Receita!$L$2:$L$508)+SUMIF(Mercado_Receita!$S$2:$S$508,"44470B2ConvencionalRuralServiço público de irrigação ruralNão se aplicaNão se aplicaIntermediário",Mercado_Receita!$L$2:$L$508)+SUMIF(Mercado_Receita!$S$2:$S$508,"44470B2ConvencionalRuralServiço público de irrigação ruralNão se aplicaNão se aplicaNão se aplica",Mercado_Receita!$L$2:$L$508)</f>
        <v>0</v>
      </c>
      <c r="K38" s="13">
        <f>SUMIF(Mercado_Receita!$S$2:$S$508,"44501B2ConvencionalRuralServiço público de irrigação ruralNão se aplicaNão se aplicaPonta",Mercado_Receita!$L$2:$L$508)+SUMIF(Mercado_Receita!$S$2:$S$508,"44501B2ConvencionalRuralServiço público de irrigação ruralNão se aplicaNão se aplicaFora ponta",Mercado_Receita!$L$2:$L$508)+SUMIF(Mercado_Receita!$S$2:$S$508,"44501B2ConvencionalRuralServiço público de irrigação ruralNão se aplicaNão se aplicaIntermediário",Mercado_Receita!$L$2:$L$508)+SUMIF(Mercado_Receita!$S$2:$S$508,"44501B2ConvencionalRuralServiço público de irrigação ruralNão se aplicaNão se aplicaNão se aplica",Mercado_Receita!$L$2:$L$508)</f>
        <v>0</v>
      </c>
      <c r="L38" s="13">
        <f>SUMIF(Mercado_Receita!$S$2:$S$508,"44531B2ConvencionalRuralServiço público de irrigação ruralNão se aplicaNão se aplicaPonta",Mercado_Receita!$L$2:$L$508)+SUMIF(Mercado_Receita!$S$2:$S$508,"44531B2ConvencionalRuralServiço público de irrigação ruralNão se aplicaNão se aplicaFora ponta",Mercado_Receita!$L$2:$L$508)+SUMIF(Mercado_Receita!$S$2:$S$508,"44531B2ConvencionalRuralServiço público de irrigação ruralNão se aplicaNão se aplicaIntermediário",Mercado_Receita!$L$2:$L$508)+SUMIF(Mercado_Receita!$S$2:$S$508,"44531B2ConvencionalRuralServiço público de irrigação ruralNão se aplicaNão se aplicaNão se aplica",Mercado_Receita!$L$2:$L$508)</f>
        <v>0</v>
      </c>
      <c r="M38" s="13">
        <f>SUMIF(Mercado_Receita!$S$2:$S$508,"44562B2ConvencionalRuralServiço público de irrigação ruralNão se aplicaNão se aplicaPonta",Mercado_Receita!$L$2:$L$508)+SUMIF(Mercado_Receita!$S$2:$S$508,"44562B2ConvencionalRuralServiço público de irrigação ruralNão se aplicaNão se aplicaFora ponta",Mercado_Receita!$L$2:$L$508)+SUMIF(Mercado_Receita!$S$2:$S$508,"44562B2ConvencionalRuralServiço público de irrigação ruralNão se aplicaNão se aplicaIntermediário",Mercado_Receita!$L$2:$L$508)+SUMIF(Mercado_Receita!$S$2:$S$508,"44562B2ConvencionalRuralServiço público de irrigação ruralNão se aplicaNão se aplicaNão se aplica",Mercado_Receita!$L$2:$L$508)</f>
        <v>0</v>
      </c>
      <c r="N38" s="13">
        <f>SUMIF(Mercado_Receita!$S$2:$S$508,"44593B2ConvencionalRuralServiço público de irrigação ruralNão se aplicaNão se aplicaPonta",Mercado_Receita!$L$2:$L$508)+SUMIF(Mercado_Receita!$S$2:$S$508,"44593B2ConvencionalRuralServiço público de irrigação ruralNão se aplicaNão se aplicaFora ponta",Mercado_Receita!$L$2:$L$508)+SUMIF(Mercado_Receita!$S$2:$S$508,"44593B2ConvencionalRuralServiço público de irrigação ruralNão se aplicaNão se aplicaIntermediário",Mercado_Receita!$L$2:$L$508)+SUMIF(Mercado_Receita!$S$2:$S$508,"44593B2ConvencionalRuralServiço público de irrigação ruralNão se aplicaNão se aplicaNão se aplica",Mercado_Receita!$L$2:$L$508)</f>
        <v>0</v>
      </c>
      <c r="O38" s="13">
        <f>SUMIF(Mercado_Receita!$S$2:$S$508,"44621B2ConvencionalRuralServiço público de irrigação ruralNão se aplicaNão se aplicaPonta",Mercado_Receita!$L$2:$L$508)+SUMIF(Mercado_Receita!$S$2:$S$508,"44621B2ConvencionalRuralServiço público de irrigação ruralNão se aplicaNão se aplicaFora ponta",Mercado_Receita!$L$2:$L$508)+SUMIF(Mercado_Receita!$S$2:$S$508,"44621B2ConvencionalRuralServiço público de irrigação ruralNão se aplicaNão se aplicaIntermediário",Mercado_Receita!$L$2:$L$508)+SUMIF(Mercado_Receita!$S$2:$S$508,"44621B2ConvencionalRuralServiço público de irrigação ruralNão se aplicaNão se aplicaNão se aplica",Mercado_Receita!$L$2:$L$508)</f>
        <v>0</v>
      </c>
      <c r="P38" s="13">
        <f>SUMIF(Mercado_Receita!$S$2:$S$508,"44652B2ConvencionalRuralServiço público de irrigação ruralNão se aplicaNão se aplicaPonta",Mercado_Receita!$L$2:$L$508)+SUMIF(Mercado_Receita!$S$2:$S$508,"44652B2ConvencionalRuralServiço público de irrigação ruralNão se aplicaNão se aplicaFora ponta",Mercado_Receita!$L$2:$L$508)+SUMIF(Mercado_Receita!$S$2:$S$508,"44652B2ConvencionalRuralServiço público de irrigação ruralNão se aplicaNão se aplicaIntermediário",Mercado_Receita!$L$2:$L$508)+SUMIF(Mercado_Receita!$S$2:$S$508,"44652B2ConvencionalRuralServiço público de irrigação ruralNão se aplicaNão se aplicaNão se aplica",Mercado_Receita!$L$2:$L$508)</f>
        <v>0</v>
      </c>
      <c r="Q38" s="13">
        <f>SUMIF(Mercado_Receita!$S$2:$S$508,"44682B2ConvencionalRuralServiço público de irrigação ruralNão se aplicaNão se aplicaPonta",Mercado_Receita!$L$2:$L$508)+SUMIF(Mercado_Receita!$S$2:$S$508,"44682B2ConvencionalRuralServiço público de irrigação ruralNão se aplicaNão se aplicaFora ponta",Mercado_Receita!$L$2:$L$508)+SUMIF(Mercado_Receita!$S$2:$S$508,"44682B2ConvencionalRuralServiço público de irrigação ruralNão se aplicaNão se aplicaIntermediário",Mercado_Receita!$L$2:$L$508)+SUMIF(Mercado_Receita!$S$2:$S$508,"44682B2ConvencionalRuralServiço público de irrigação ruralNão se aplicaNão se aplicaNão se aplica",Mercado_Receita!$L$2:$L$508)</f>
        <v>0</v>
      </c>
      <c r="R38" s="13">
        <f>SUMIF(Mercado_Receita!$S$2:$S$508,"44713B2ConvencionalRuralServiço público de irrigação ruralNão se aplicaNão se aplicaPonta",Mercado_Receita!$L$2:$L$508)+SUMIF(Mercado_Receita!$S$2:$S$508,"44713B2ConvencionalRuralServiço público de irrigação ruralNão se aplicaNão se aplicaFora ponta",Mercado_Receita!$L$2:$L$508)+SUMIF(Mercado_Receita!$S$2:$S$508,"44713B2ConvencionalRuralServiço público de irrigação ruralNão se aplicaNão se aplicaIntermediário",Mercado_Receita!$L$2:$L$508)+SUMIF(Mercado_Receita!$S$2:$S$508,"44713B2ConvencionalRuralServiço público de irrigação ruralNão se aplicaNão se aplicaNão se aplica",Mercado_Receita!$L$2:$L$508)</f>
        <v>0</v>
      </c>
      <c r="S38" s="13">
        <f>SUMIF(Mercado_Receita!$S$2:$S$508,"44743B2ConvencionalRuralServiço público de irrigação ruralNão se aplicaNão se aplicaPonta",Mercado_Receita!$L$2:$L$508)+SUMIF(Mercado_Receita!$S$2:$S$508,"44743B2ConvencionalRuralServiço público de irrigação ruralNão se aplicaNão se aplicaFora ponta",Mercado_Receita!$L$2:$L$508)+SUMIF(Mercado_Receita!$S$2:$S$508,"44743B2ConvencionalRuralServiço público de irrigação ruralNão se aplicaNão se aplicaIntermediário",Mercado_Receita!$L$2:$L$508)+SUMIF(Mercado_Receita!$S$2:$S$508,"44743B2ConvencionalRuralServiço público de irrigação ruralNão se aplicaNão se aplicaNão se aplica",Mercado_Receita!$L$2:$L$508)</f>
        <v>0</v>
      </c>
      <c r="T38" s="13">
        <f>SUMIF(Mercado_Receita!$S$2:$S$508,"44774B2ConvencionalRuralServiço público de irrigação ruralNão se aplicaNão se aplicaPonta",Mercado_Receita!$L$2:$L$508)+SUMIF(Mercado_Receita!$S$2:$S$508,"44774B2ConvencionalRuralServiço público de irrigação ruralNão se aplicaNão se aplicaFora ponta",Mercado_Receita!$L$2:$L$508)+SUMIF(Mercado_Receita!$S$2:$S$508,"44774B2ConvencionalRuralServiço público de irrigação ruralNão se aplicaNão se aplicaIntermediário",Mercado_Receita!$L$2:$L$508)+SUMIF(Mercado_Receita!$S$2:$S$508,"44774B2ConvencionalRuralServiço público de irrigação ruralNão se aplicaNão se aplicaNão se aplica",Mercado_Receita!$L$2:$L$508)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7"/>
      <c r="B39" s="86" t="s">
        <v>89</v>
      </c>
      <c r="C39" s="86" t="s">
        <v>41</v>
      </c>
      <c r="D39" s="12" t="s">
        <v>25</v>
      </c>
      <c r="E39" s="12" t="s">
        <v>25</v>
      </c>
      <c r="F39" s="12" t="s">
        <v>25</v>
      </c>
      <c r="G39" s="13" t="s">
        <v>79</v>
      </c>
      <c r="H39" s="13" t="s">
        <v>73</v>
      </c>
      <c r="I39" s="13">
        <f>SUMIF(Mercado_Receita!$S$2:$S$508,"44440B2Convencional pré-pagamentoRuralNão se aplicaNão se aplicaNão se aplicaPonta",Mercado_Receita!$L$2:$L$508)+SUMIF(Mercado_Receita!$S$2:$S$508,"44440B2Convencional pré-pagamentoRuralNão se aplicaNão se aplicaNão se aplicaFora ponta",Mercado_Receita!$L$2:$L$508)+SUMIF(Mercado_Receita!$S$2:$S$508,"44440B2Convencional pré-pagamentoRuralNão se aplicaNão se aplicaNão se aplicaIntermediário",Mercado_Receita!$L$2:$L$508)+SUMIF(Mercado_Receita!$S$2:$S$508,"44440B2Convencional pré-pagamentoRuralNão se aplicaNão se aplicaNão se aplicaNão se aplica",Mercado_Receita!$L$2:$L$508)</f>
        <v>0</v>
      </c>
      <c r="J39" s="13">
        <f>SUMIF(Mercado_Receita!$S$2:$S$508,"44470B2Convencional pré-pagamentoRuralNão se aplicaNão se aplicaNão se aplicaPonta",Mercado_Receita!$L$2:$L$508)+SUMIF(Mercado_Receita!$S$2:$S$508,"44470B2Convencional pré-pagamentoRuralNão se aplicaNão se aplicaNão se aplicaFora ponta",Mercado_Receita!$L$2:$L$508)+SUMIF(Mercado_Receita!$S$2:$S$508,"44470B2Convencional pré-pagamentoRuralNão se aplicaNão se aplicaNão se aplicaIntermediário",Mercado_Receita!$L$2:$L$508)+SUMIF(Mercado_Receita!$S$2:$S$508,"44470B2Convencional pré-pagamentoRuralNão se aplicaNão se aplicaNão se aplicaNão se aplica",Mercado_Receita!$L$2:$L$508)</f>
        <v>0</v>
      </c>
      <c r="K39" s="13">
        <f>SUMIF(Mercado_Receita!$S$2:$S$508,"44501B2Convencional pré-pagamentoRuralNão se aplicaNão se aplicaNão se aplicaPonta",Mercado_Receita!$L$2:$L$508)+SUMIF(Mercado_Receita!$S$2:$S$508,"44501B2Convencional pré-pagamentoRuralNão se aplicaNão se aplicaNão se aplicaFora ponta",Mercado_Receita!$L$2:$L$508)+SUMIF(Mercado_Receita!$S$2:$S$508,"44501B2Convencional pré-pagamentoRuralNão se aplicaNão se aplicaNão se aplicaIntermediário",Mercado_Receita!$L$2:$L$508)+SUMIF(Mercado_Receita!$S$2:$S$508,"44501B2Convencional pré-pagamentoRuralNão se aplicaNão se aplicaNão se aplicaNão se aplica",Mercado_Receita!$L$2:$L$508)</f>
        <v>0</v>
      </c>
      <c r="L39" s="13">
        <f>SUMIF(Mercado_Receita!$S$2:$S$508,"44531B2Convencional pré-pagamentoRuralNão se aplicaNão se aplicaNão se aplicaPonta",Mercado_Receita!$L$2:$L$508)+SUMIF(Mercado_Receita!$S$2:$S$508,"44531B2Convencional pré-pagamentoRuralNão se aplicaNão se aplicaNão se aplicaFora ponta",Mercado_Receita!$L$2:$L$508)+SUMIF(Mercado_Receita!$S$2:$S$508,"44531B2Convencional pré-pagamentoRuralNão se aplicaNão se aplicaNão se aplicaIntermediário",Mercado_Receita!$L$2:$L$508)+SUMIF(Mercado_Receita!$S$2:$S$508,"44531B2Convencional pré-pagamentoRuralNão se aplicaNão se aplicaNão se aplicaNão se aplica",Mercado_Receita!$L$2:$L$508)</f>
        <v>0</v>
      </c>
      <c r="M39" s="13">
        <f>SUMIF(Mercado_Receita!$S$2:$S$508,"44562B2Convencional pré-pagamentoRuralNão se aplicaNão se aplicaNão se aplicaPonta",Mercado_Receita!$L$2:$L$508)+SUMIF(Mercado_Receita!$S$2:$S$508,"44562B2Convencional pré-pagamentoRuralNão se aplicaNão se aplicaNão se aplicaFora ponta",Mercado_Receita!$L$2:$L$508)+SUMIF(Mercado_Receita!$S$2:$S$508,"44562B2Convencional pré-pagamentoRuralNão se aplicaNão se aplicaNão se aplicaIntermediário",Mercado_Receita!$L$2:$L$508)+SUMIF(Mercado_Receita!$S$2:$S$508,"44562B2Convencional pré-pagamentoRuralNão se aplicaNão se aplicaNão se aplicaNão se aplica",Mercado_Receita!$L$2:$L$508)</f>
        <v>0</v>
      </c>
      <c r="N39" s="13">
        <f>SUMIF(Mercado_Receita!$S$2:$S$508,"44593B2Convencional pré-pagamentoRuralNão se aplicaNão se aplicaNão se aplicaPonta",Mercado_Receita!$L$2:$L$508)+SUMIF(Mercado_Receita!$S$2:$S$508,"44593B2Convencional pré-pagamentoRuralNão se aplicaNão se aplicaNão se aplicaFora ponta",Mercado_Receita!$L$2:$L$508)+SUMIF(Mercado_Receita!$S$2:$S$508,"44593B2Convencional pré-pagamentoRuralNão se aplicaNão se aplicaNão se aplicaIntermediário",Mercado_Receita!$L$2:$L$508)+SUMIF(Mercado_Receita!$S$2:$S$508,"44593B2Convencional pré-pagamentoRuralNão se aplicaNão se aplicaNão se aplicaNão se aplica",Mercado_Receita!$L$2:$L$508)</f>
        <v>0</v>
      </c>
      <c r="O39" s="13">
        <f>SUMIF(Mercado_Receita!$S$2:$S$508,"44621B2Convencional pré-pagamentoRuralNão se aplicaNão se aplicaNão se aplicaPonta",Mercado_Receita!$L$2:$L$508)+SUMIF(Mercado_Receita!$S$2:$S$508,"44621B2Convencional pré-pagamentoRuralNão se aplicaNão se aplicaNão se aplicaFora ponta",Mercado_Receita!$L$2:$L$508)+SUMIF(Mercado_Receita!$S$2:$S$508,"44621B2Convencional pré-pagamentoRuralNão se aplicaNão se aplicaNão se aplicaIntermediário",Mercado_Receita!$L$2:$L$508)+SUMIF(Mercado_Receita!$S$2:$S$508,"44621B2Convencional pré-pagamentoRuralNão se aplicaNão se aplicaNão se aplicaNão se aplica",Mercado_Receita!$L$2:$L$508)</f>
        <v>0</v>
      </c>
      <c r="P39" s="13">
        <f>SUMIF(Mercado_Receita!$S$2:$S$508,"44652B2Convencional pré-pagamentoRuralNão se aplicaNão se aplicaNão se aplicaPonta",Mercado_Receita!$L$2:$L$508)+SUMIF(Mercado_Receita!$S$2:$S$508,"44652B2Convencional pré-pagamentoRuralNão se aplicaNão se aplicaNão se aplicaFora ponta",Mercado_Receita!$L$2:$L$508)+SUMIF(Mercado_Receita!$S$2:$S$508,"44652B2Convencional pré-pagamentoRuralNão se aplicaNão se aplicaNão se aplicaIntermediário",Mercado_Receita!$L$2:$L$508)+SUMIF(Mercado_Receita!$S$2:$S$508,"44652B2Convencional pré-pagamentoRuralNão se aplicaNão se aplicaNão se aplicaNão se aplica",Mercado_Receita!$L$2:$L$508)</f>
        <v>0</v>
      </c>
      <c r="Q39" s="13">
        <f>SUMIF(Mercado_Receita!$S$2:$S$508,"44682B2Convencional pré-pagamentoRuralNão se aplicaNão se aplicaNão se aplicaPonta",Mercado_Receita!$L$2:$L$508)+SUMIF(Mercado_Receita!$S$2:$S$508,"44682B2Convencional pré-pagamentoRuralNão se aplicaNão se aplicaNão se aplicaFora ponta",Mercado_Receita!$L$2:$L$508)+SUMIF(Mercado_Receita!$S$2:$S$508,"44682B2Convencional pré-pagamentoRuralNão se aplicaNão se aplicaNão se aplicaIntermediário",Mercado_Receita!$L$2:$L$508)+SUMIF(Mercado_Receita!$S$2:$S$508,"44682B2Convencional pré-pagamentoRuralNão se aplicaNão se aplicaNão se aplicaNão se aplica",Mercado_Receita!$L$2:$L$508)</f>
        <v>0</v>
      </c>
      <c r="R39" s="13">
        <f>SUMIF(Mercado_Receita!$S$2:$S$508,"44713B2Convencional pré-pagamentoRuralNão se aplicaNão se aplicaNão se aplicaPonta",Mercado_Receita!$L$2:$L$508)+SUMIF(Mercado_Receita!$S$2:$S$508,"44713B2Convencional pré-pagamentoRuralNão se aplicaNão se aplicaNão se aplicaFora ponta",Mercado_Receita!$L$2:$L$508)+SUMIF(Mercado_Receita!$S$2:$S$508,"44713B2Convencional pré-pagamentoRuralNão se aplicaNão se aplicaNão se aplicaIntermediário",Mercado_Receita!$L$2:$L$508)+SUMIF(Mercado_Receita!$S$2:$S$508,"44713B2Convencional pré-pagamentoRuralNão se aplicaNão se aplicaNão se aplicaNão se aplica",Mercado_Receita!$L$2:$L$508)</f>
        <v>0</v>
      </c>
      <c r="S39" s="13">
        <f>SUMIF(Mercado_Receita!$S$2:$S$508,"44743B2Convencional pré-pagamentoRuralNão se aplicaNão se aplicaNão se aplicaPonta",Mercado_Receita!$L$2:$L$508)+SUMIF(Mercado_Receita!$S$2:$S$508,"44743B2Convencional pré-pagamentoRuralNão se aplicaNão se aplicaNão se aplicaFora ponta",Mercado_Receita!$L$2:$L$508)+SUMIF(Mercado_Receita!$S$2:$S$508,"44743B2Convencional pré-pagamentoRuralNão se aplicaNão se aplicaNão se aplicaIntermediário",Mercado_Receita!$L$2:$L$508)+SUMIF(Mercado_Receita!$S$2:$S$508,"44743B2Convencional pré-pagamentoRuralNão se aplicaNão se aplicaNão se aplicaNão se aplica",Mercado_Receita!$L$2:$L$508)</f>
        <v>0</v>
      </c>
      <c r="T39" s="13">
        <f>SUMIF(Mercado_Receita!$S$2:$S$508,"44774B2Convencional pré-pagamentoRuralNão se aplicaNão se aplicaNão se aplicaPonta",Mercado_Receita!$L$2:$L$508)+SUMIF(Mercado_Receita!$S$2:$S$508,"44774B2Convencional pré-pagamentoRuralNão se aplicaNão se aplicaNão se aplicaFora ponta",Mercado_Receita!$L$2:$L$508)+SUMIF(Mercado_Receita!$S$2:$S$508,"44774B2Convencional pré-pagamentoRuralNão se aplicaNão se aplicaNão se aplicaIntermediário",Mercado_Receita!$L$2:$L$508)+SUMIF(Mercado_Receita!$S$2:$S$508,"44774B2Convencional pré-pagamentoRuralNão se aplicaNão se aplicaNão se aplicaNão se aplica",Mercado_Receita!$L$2:$L$508)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87"/>
      <c r="B40" s="87"/>
      <c r="C40" s="87"/>
      <c r="D40" s="12" t="s">
        <v>90</v>
      </c>
      <c r="E40" s="12" t="s">
        <v>25</v>
      </c>
      <c r="F40" s="12" t="s">
        <v>25</v>
      </c>
      <c r="G40" s="13" t="s">
        <v>79</v>
      </c>
      <c r="H40" s="13" t="s">
        <v>73</v>
      </c>
      <c r="I40" s="13">
        <f>SUMIF(Mercado_Receita!$S$2:$S$508,"44440B2Convencional pré-pagamentoRuralCooperativa de eletrificação ruralNão se aplicaNão se aplicaPonta",Mercado_Receita!$L$2:$L$508)+SUMIF(Mercado_Receita!$S$2:$S$508,"44440B2Convencional pré-pagamentoRuralCooperativa de eletrificação ruralNão se aplicaNão se aplicaFora ponta",Mercado_Receita!$L$2:$L$508)+SUMIF(Mercado_Receita!$S$2:$S$508,"44440B2Convencional pré-pagamentoRuralCooperativa de eletrificação ruralNão se aplicaNão se aplicaIntermediário",Mercado_Receita!$L$2:$L$508)+SUMIF(Mercado_Receita!$S$2:$S$508,"44440B2Convencional pré-pagamentoRuralCooperativa de eletrificação ruralNão se aplicaNão se aplicaNão se aplica",Mercado_Receita!$L$2:$L$508)</f>
        <v>0</v>
      </c>
      <c r="J40" s="13">
        <f>SUMIF(Mercado_Receita!$S$2:$S$508,"44470B2Convencional pré-pagamentoRuralCooperativa de eletrificação ruralNão se aplicaNão se aplicaPonta",Mercado_Receita!$L$2:$L$508)+SUMIF(Mercado_Receita!$S$2:$S$508,"44470B2Convencional pré-pagamentoRuralCooperativa de eletrificação ruralNão se aplicaNão se aplicaFora ponta",Mercado_Receita!$L$2:$L$508)+SUMIF(Mercado_Receita!$S$2:$S$508,"44470B2Convencional pré-pagamentoRuralCooperativa de eletrificação ruralNão se aplicaNão se aplicaIntermediário",Mercado_Receita!$L$2:$L$508)+SUMIF(Mercado_Receita!$S$2:$S$508,"44470B2Convencional pré-pagamentoRuralCooperativa de eletrificação ruralNão se aplicaNão se aplicaNão se aplica",Mercado_Receita!$L$2:$L$508)</f>
        <v>0</v>
      </c>
      <c r="K40" s="13">
        <f>SUMIF(Mercado_Receita!$S$2:$S$508,"44501B2Convencional pré-pagamentoRuralCooperativa de eletrificação ruralNão se aplicaNão se aplicaPonta",Mercado_Receita!$L$2:$L$508)+SUMIF(Mercado_Receita!$S$2:$S$508,"44501B2Convencional pré-pagamentoRuralCooperativa de eletrificação ruralNão se aplicaNão se aplicaFora ponta",Mercado_Receita!$L$2:$L$508)+SUMIF(Mercado_Receita!$S$2:$S$508,"44501B2Convencional pré-pagamentoRuralCooperativa de eletrificação ruralNão se aplicaNão se aplicaIntermediário",Mercado_Receita!$L$2:$L$508)+SUMIF(Mercado_Receita!$S$2:$S$508,"44501B2Convencional pré-pagamentoRuralCooperativa de eletrificação ruralNão se aplicaNão se aplicaNão se aplica",Mercado_Receita!$L$2:$L$508)</f>
        <v>0</v>
      </c>
      <c r="L40" s="13">
        <f>SUMIF(Mercado_Receita!$S$2:$S$508,"44531B2Convencional pré-pagamentoRuralCooperativa de eletrificação ruralNão se aplicaNão se aplicaPonta",Mercado_Receita!$L$2:$L$508)+SUMIF(Mercado_Receita!$S$2:$S$508,"44531B2Convencional pré-pagamentoRuralCooperativa de eletrificação ruralNão se aplicaNão se aplicaFora ponta",Mercado_Receita!$L$2:$L$508)+SUMIF(Mercado_Receita!$S$2:$S$508,"44531B2Convencional pré-pagamentoRuralCooperativa de eletrificação ruralNão se aplicaNão se aplicaIntermediário",Mercado_Receita!$L$2:$L$508)+SUMIF(Mercado_Receita!$S$2:$S$508,"44531B2Convencional pré-pagamentoRuralCooperativa de eletrificação ruralNão se aplicaNão se aplicaNão se aplica",Mercado_Receita!$L$2:$L$508)</f>
        <v>0</v>
      </c>
      <c r="M40" s="13">
        <f>SUMIF(Mercado_Receita!$S$2:$S$508,"44562B2Convencional pré-pagamentoRuralCooperativa de eletrificação ruralNão se aplicaNão se aplicaPonta",Mercado_Receita!$L$2:$L$508)+SUMIF(Mercado_Receita!$S$2:$S$508,"44562B2Convencional pré-pagamentoRuralCooperativa de eletrificação ruralNão se aplicaNão se aplicaFora ponta",Mercado_Receita!$L$2:$L$508)+SUMIF(Mercado_Receita!$S$2:$S$508,"44562B2Convencional pré-pagamentoRuralCooperativa de eletrificação ruralNão se aplicaNão se aplicaIntermediário",Mercado_Receita!$L$2:$L$508)+SUMIF(Mercado_Receita!$S$2:$S$508,"44562B2Convencional pré-pagamentoRuralCooperativa de eletrificação ruralNão se aplicaNão se aplicaNão se aplica",Mercado_Receita!$L$2:$L$508)</f>
        <v>0</v>
      </c>
      <c r="N40" s="13">
        <f>SUMIF(Mercado_Receita!$S$2:$S$508,"44593B2Convencional pré-pagamentoRuralCooperativa de eletrificação ruralNão se aplicaNão se aplicaPonta",Mercado_Receita!$L$2:$L$508)+SUMIF(Mercado_Receita!$S$2:$S$508,"44593B2Convencional pré-pagamentoRuralCooperativa de eletrificação ruralNão se aplicaNão se aplicaFora ponta",Mercado_Receita!$L$2:$L$508)+SUMIF(Mercado_Receita!$S$2:$S$508,"44593B2Convencional pré-pagamentoRuralCooperativa de eletrificação ruralNão se aplicaNão se aplicaIntermediário",Mercado_Receita!$L$2:$L$508)+SUMIF(Mercado_Receita!$S$2:$S$508,"44593B2Convencional pré-pagamentoRuralCooperativa de eletrificação ruralNão se aplicaNão se aplicaNão se aplica",Mercado_Receita!$L$2:$L$508)</f>
        <v>0</v>
      </c>
      <c r="O40" s="13">
        <f>SUMIF(Mercado_Receita!$S$2:$S$508,"44621B2Convencional pré-pagamentoRuralCooperativa de eletrificação ruralNão se aplicaNão se aplicaPonta",Mercado_Receita!$L$2:$L$508)+SUMIF(Mercado_Receita!$S$2:$S$508,"44621B2Convencional pré-pagamentoRuralCooperativa de eletrificação ruralNão se aplicaNão se aplicaFora ponta",Mercado_Receita!$L$2:$L$508)+SUMIF(Mercado_Receita!$S$2:$S$508,"44621B2Convencional pré-pagamentoRuralCooperativa de eletrificação ruralNão se aplicaNão se aplicaIntermediário",Mercado_Receita!$L$2:$L$508)+SUMIF(Mercado_Receita!$S$2:$S$508,"44621B2Convencional pré-pagamentoRuralCooperativa de eletrificação ruralNão se aplicaNão se aplicaNão se aplica",Mercado_Receita!$L$2:$L$508)</f>
        <v>0</v>
      </c>
      <c r="P40" s="13">
        <f>SUMIF(Mercado_Receita!$S$2:$S$508,"44652B2Convencional pré-pagamentoRuralCooperativa de eletrificação ruralNão se aplicaNão se aplicaPonta",Mercado_Receita!$L$2:$L$508)+SUMIF(Mercado_Receita!$S$2:$S$508,"44652B2Convencional pré-pagamentoRuralCooperativa de eletrificação ruralNão se aplicaNão se aplicaFora ponta",Mercado_Receita!$L$2:$L$508)+SUMIF(Mercado_Receita!$S$2:$S$508,"44652B2Convencional pré-pagamentoRuralCooperativa de eletrificação ruralNão se aplicaNão se aplicaIntermediário",Mercado_Receita!$L$2:$L$508)+SUMIF(Mercado_Receita!$S$2:$S$508,"44652B2Convencional pré-pagamentoRuralCooperativa de eletrificação ruralNão se aplicaNão se aplicaNão se aplica",Mercado_Receita!$L$2:$L$508)</f>
        <v>0</v>
      </c>
      <c r="Q40" s="13">
        <f>SUMIF(Mercado_Receita!$S$2:$S$508,"44682B2Convencional pré-pagamentoRuralCooperativa de eletrificação ruralNão se aplicaNão se aplicaPonta",Mercado_Receita!$L$2:$L$508)+SUMIF(Mercado_Receita!$S$2:$S$508,"44682B2Convencional pré-pagamentoRuralCooperativa de eletrificação ruralNão se aplicaNão se aplicaFora ponta",Mercado_Receita!$L$2:$L$508)+SUMIF(Mercado_Receita!$S$2:$S$508,"44682B2Convencional pré-pagamentoRuralCooperativa de eletrificação ruralNão se aplicaNão se aplicaIntermediário",Mercado_Receita!$L$2:$L$508)+SUMIF(Mercado_Receita!$S$2:$S$508,"44682B2Convencional pré-pagamentoRuralCooperativa de eletrificação ruralNão se aplicaNão se aplicaNão se aplica",Mercado_Receita!$L$2:$L$508)</f>
        <v>0</v>
      </c>
      <c r="R40" s="13">
        <f>SUMIF(Mercado_Receita!$S$2:$S$508,"44713B2Convencional pré-pagamentoRuralCooperativa de eletrificação ruralNão se aplicaNão se aplicaPonta",Mercado_Receita!$L$2:$L$508)+SUMIF(Mercado_Receita!$S$2:$S$508,"44713B2Convencional pré-pagamentoRuralCooperativa de eletrificação ruralNão se aplicaNão se aplicaFora ponta",Mercado_Receita!$L$2:$L$508)+SUMIF(Mercado_Receita!$S$2:$S$508,"44713B2Convencional pré-pagamentoRuralCooperativa de eletrificação ruralNão se aplicaNão se aplicaIntermediário",Mercado_Receita!$L$2:$L$508)+SUMIF(Mercado_Receita!$S$2:$S$508,"44713B2Convencional pré-pagamentoRuralCooperativa de eletrificação ruralNão se aplicaNão se aplicaNão se aplica",Mercado_Receita!$L$2:$L$508)</f>
        <v>0</v>
      </c>
      <c r="S40" s="13">
        <f>SUMIF(Mercado_Receita!$S$2:$S$508,"44743B2Convencional pré-pagamentoRuralCooperativa de eletrificação ruralNão se aplicaNão se aplicaPonta",Mercado_Receita!$L$2:$L$508)+SUMIF(Mercado_Receita!$S$2:$S$508,"44743B2Convencional pré-pagamentoRuralCooperativa de eletrificação ruralNão se aplicaNão se aplicaFora ponta",Mercado_Receita!$L$2:$L$508)+SUMIF(Mercado_Receita!$S$2:$S$508,"44743B2Convencional pré-pagamentoRuralCooperativa de eletrificação ruralNão se aplicaNão se aplicaIntermediário",Mercado_Receita!$L$2:$L$508)+SUMIF(Mercado_Receita!$S$2:$S$508,"44743B2Convencional pré-pagamentoRuralCooperativa de eletrificação ruralNão se aplicaNão se aplicaNão se aplica",Mercado_Receita!$L$2:$L$508)</f>
        <v>0</v>
      </c>
      <c r="T40" s="13">
        <f>SUMIF(Mercado_Receita!$S$2:$S$508,"44774B2Convencional pré-pagamentoRuralCooperativa de eletrificação ruralNão se aplicaNão se aplicaPonta",Mercado_Receita!$L$2:$L$508)+SUMIF(Mercado_Receita!$S$2:$S$508,"44774B2Convencional pré-pagamentoRuralCooperativa de eletrificação ruralNão se aplicaNão se aplicaFora ponta",Mercado_Receita!$L$2:$L$508)+SUMIF(Mercado_Receita!$S$2:$S$508,"44774B2Convencional pré-pagamentoRuralCooperativa de eletrificação ruralNão se aplicaNão se aplicaIntermediário",Mercado_Receita!$L$2:$L$508)+SUMIF(Mercado_Receita!$S$2:$S$508,"44774B2Convencional pré-pagamentoRuralCooperativa de eletrificação ruralNão se aplicaNão se aplicaNão se aplica",Mercado_Receita!$L$2:$L$508)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87"/>
      <c r="B41" s="87"/>
      <c r="C41" s="87"/>
      <c r="D41" s="12" t="s">
        <v>91</v>
      </c>
      <c r="E41" s="12" t="s">
        <v>25</v>
      </c>
      <c r="F41" s="12" t="s">
        <v>25</v>
      </c>
      <c r="G41" s="13" t="s">
        <v>79</v>
      </c>
      <c r="H41" s="13" t="s">
        <v>73</v>
      </c>
      <c r="I41" s="13">
        <f>SUMIF(Mercado_Receita!$S$2:$S$508,"44440B2Convencional pré-pagamentoRuralServiço público de irrigação ruralNão se aplicaNão se aplicaPonta",Mercado_Receita!$L$2:$L$508)+SUMIF(Mercado_Receita!$S$2:$S$508,"44440B2Convencional pré-pagamentoRuralServiço público de irrigação ruralNão se aplicaNão se aplicaFora ponta",Mercado_Receita!$L$2:$L$508)+SUMIF(Mercado_Receita!$S$2:$S$508,"44440B2Convencional pré-pagamentoRuralServiço público de irrigação ruralNão se aplicaNão se aplicaIntermediário",Mercado_Receita!$L$2:$L$508)+SUMIF(Mercado_Receita!$S$2:$S$508,"44440B2Convencional pré-pagamentoRuralServiço público de irrigação ruralNão se aplicaNão se aplicaNão se aplica",Mercado_Receita!$L$2:$L$508)</f>
        <v>0</v>
      </c>
      <c r="J41" s="13">
        <f>SUMIF(Mercado_Receita!$S$2:$S$508,"44470B2Convencional pré-pagamentoRuralServiço público de irrigação ruralNão se aplicaNão se aplicaPonta",Mercado_Receita!$L$2:$L$508)+SUMIF(Mercado_Receita!$S$2:$S$508,"44470B2Convencional pré-pagamentoRuralServiço público de irrigação ruralNão se aplicaNão se aplicaFora ponta",Mercado_Receita!$L$2:$L$508)+SUMIF(Mercado_Receita!$S$2:$S$508,"44470B2Convencional pré-pagamentoRuralServiço público de irrigação ruralNão se aplicaNão se aplicaIntermediário",Mercado_Receita!$L$2:$L$508)+SUMIF(Mercado_Receita!$S$2:$S$508,"44470B2Convencional pré-pagamentoRuralServiço público de irrigação ruralNão se aplicaNão se aplicaNão se aplica",Mercado_Receita!$L$2:$L$508)</f>
        <v>0</v>
      </c>
      <c r="K41" s="13">
        <f>SUMIF(Mercado_Receita!$S$2:$S$508,"44501B2Convencional pré-pagamentoRuralServiço público de irrigação ruralNão se aplicaNão se aplicaPonta",Mercado_Receita!$L$2:$L$508)+SUMIF(Mercado_Receita!$S$2:$S$508,"44501B2Convencional pré-pagamentoRuralServiço público de irrigação ruralNão se aplicaNão se aplicaFora ponta",Mercado_Receita!$L$2:$L$508)+SUMIF(Mercado_Receita!$S$2:$S$508,"44501B2Convencional pré-pagamentoRuralServiço público de irrigação ruralNão se aplicaNão se aplicaIntermediário",Mercado_Receita!$L$2:$L$508)+SUMIF(Mercado_Receita!$S$2:$S$508,"44501B2Convencional pré-pagamentoRuralServiço público de irrigação ruralNão se aplicaNão se aplicaNão se aplica",Mercado_Receita!$L$2:$L$508)</f>
        <v>0</v>
      </c>
      <c r="L41" s="13">
        <f>SUMIF(Mercado_Receita!$S$2:$S$508,"44531B2Convencional pré-pagamentoRuralServiço público de irrigação ruralNão se aplicaNão se aplicaPonta",Mercado_Receita!$L$2:$L$508)+SUMIF(Mercado_Receita!$S$2:$S$508,"44531B2Convencional pré-pagamentoRuralServiço público de irrigação ruralNão se aplicaNão se aplicaFora ponta",Mercado_Receita!$L$2:$L$508)+SUMIF(Mercado_Receita!$S$2:$S$508,"44531B2Convencional pré-pagamentoRuralServiço público de irrigação ruralNão se aplicaNão se aplicaIntermediário",Mercado_Receita!$L$2:$L$508)+SUMIF(Mercado_Receita!$S$2:$S$508,"44531B2Convencional pré-pagamentoRuralServiço público de irrigação ruralNão se aplicaNão se aplicaNão se aplica",Mercado_Receita!$L$2:$L$508)</f>
        <v>0</v>
      </c>
      <c r="M41" s="13">
        <f>SUMIF(Mercado_Receita!$S$2:$S$508,"44562B2Convencional pré-pagamentoRuralServiço público de irrigação ruralNão se aplicaNão se aplicaPonta",Mercado_Receita!$L$2:$L$508)+SUMIF(Mercado_Receita!$S$2:$S$508,"44562B2Convencional pré-pagamentoRuralServiço público de irrigação ruralNão se aplicaNão se aplicaFora ponta",Mercado_Receita!$L$2:$L$508)+SUMIF(Mercado_Receita!$S$2:$S$508,"44562B2Convencional pré-pagamentoRuralServiço público de irrigação ruralNão se aplicaNão se aplicaIntermediário",Mercado_Receita!$L$2:$L$508)+SUMIF(Mercado_Receita!$S$2:$S$508,"44562B2Convencional pré-pagamentoRuralServiço público de irrigação ruralNão se aplicaNão se aplicaNão se aplica",Mercado_Receita!$L$2:$L$508)</f>
        <v>0</v>
      </c>
      <c r="N41" s="13">
        <f>SUMIF(Mercado_Receita!$S$2:$S$508,"44593B2Convencional pré-pagamentoRuralServiço público de irrigação ruralNão se aplicaNão se aplicaPonta",Mercado_Receita!$L$2:$L$508)+SUMIF(Mercado_Receita!$S$2:$S$508,"44593B2Convencional pré-pagamentoRuralServiço público de irrigação ruralNão se aplicaNão se aplicaFora ponta",Mercado_Receita!$L$2:$L$508)+SUMIF(Mercado_Receita!$S$2:$S$508,"44593B2Convencional pré-pagamentoRuralServiço público de irrigação ruralNão se aplicaNão se aplicaIntermediário",Mercado_Receita!$L$2:$L$508)+SUMIF(Mercado_Receita!$S$2:$S$508,"44593B2Convencional pré-pagamentoRuralServiço público de irrigação ruralNão se aplicaNão se aplicaNão se aplica",Mercado_Receita!$L$2:$L$508)</f>
        <v>0</v>
      </c>
      <c r="O41" s="13">
        <f>SUMIF(Mercado_Receita!$S$2:$S$508,"44621B2Convencional pré-pagamentoRuralServiço público de irrigação ruralNão se aplicaNão se aplicaPonta",Mercado_Receita!$L$2:$L$508)+SUMIF(Mercado_Receita!$S$2:$S$508,"44621B2Convencional pré-pagamentoRuralServiço público de irrigação ruralNão se aplicaNão se aplicaFora ponta",Mercado_Receita!$L$2:$L$508)+SUMIF(Mercado_Receita!$S$2:$S$508,"44621B2Convencional pré-pagamentoRuralServiço público de irrigação ruralNão se aplicaNão se aplicaIntermediário",Mercado_Receita!$L$2:$L$508)+SUMIF(Mercado_Receita!$S$2:$S$508,"44621B2Convencional pré-pagamentoRuralServiço público de irrigação ruralNão se aplicaNão se aplicaNão se aplica",Mercado_Receita!$L$2:$L$508)</f>
        <v>0</v>
      </c>
      <c r="P41" s="13">
        <f>SUMIF(Mercado_Receita!$S$2:$S$508,"44652B2Convencional pré-pagamentoRuralServiço público de irrigação ruralNão se aplicaNão se aplicaPonta",Mercado_Receita!$L$2:$L$508)+SUMIF(Mercado_Receita!$S$2:$S$508,"44652B2Convencional pré-pagamentoRuralServiço público de irrigação ruralNão se aplicaNão se aplicaFora ponta",Mercado_Receita!$L$2:$L$508)+SUMIF(Mercado_Receita!$S$2:$S$508,"44652B2Convencional pré-pagamentoRuralServiço público de irrigação ruralNão se aplicaNão se aplicaIntermediário",Mercado_Receita!$L$2:$L$508)+SUMIF(Mercado_Receita!$S$2:$S$508,"44652B2Convencional pré-pagamentoRuralServiço público de irrigação ruralNão se aplicaNão se aplicaNão se aplica",Mercado_Receita!$L$2:$L$508)</f>
        <v>0</v>
      </c>
      <c r="Q41" s="13">
        <f>SUMIF(Mercado_Receita!$S$2:$S$508,"44682B2Convencional pré-pagamentoRuralServiço público de irrigação ruralNão se aplicaNão se aplicaPonta",Mercado_Receita!$L$2:$L$508)+SUMIF(Mercado_Receita!$S$2:$S$508,"44682B2Convencional pré-pagamentoRuralServiço público de irrigação ruralNão se aplicaNão se aplicaFora ponta",Mercado_Receita!$L$2:$L$508)+SUMIF(Mercado_Receita!$S$2:$S$508,"44682B2Convencional pré-pagamentoRuralServiço público de irrigação ruralNão se aplicaNão se aplicaIntermediário",Mercado_Receita!$L$2:$L$508)+SUMIF(Mercado_Receita!$S$2:$S$508,"44682B2Convencional pré-pagamentoRuralServiço público de irrigação ruralNão se aplicaNão se aplicaNão se aplica",Mercado_Receita!$L$2:$L$508)</f>
        <v>0</v>
      </c>
      <c r="R41" s="13">
        <f>SUMIF(Mercado_Receita!$S$2:$S$508,"44713B2Convencional pré-pagamentoRuralServiço público de irrigação ruralNão se aplicaNão se aplicaPonta",Mercado_Receita!$L$2:$L$508)+SUMIF(Mercado_Receita!$S$2:$S$508,"44713B2Convencional pré-pagamentoRuralServiço público de irrigação ruralNão se aplicaNão se aplicaFora ponta",Mercado_Receita!$L$2:$L$508)+SUMIF(Mercado_Receita!$S$2:$S$508,"44713B2Convencional pré-pagamentoRuralServiço público de irrigação ruralNão se aplicaNão se aplicaIntermediário",Mercado_Receita!$L$2:$L$508)+SUMIF(Mercado_Receita!$S$2:$S$508,"44713B2Convencional pré-pagamentoRuralServiço público de irrigação ruralNão se aplicaNão se aplicaNão se aplica",Mercado_Receita!$L$2:$L$508)</f>
        <v>0</v>
      </c>
      <c r="S41" s="13">
        <f>SUMIF(Mercado_Receita!$S$2:$S$508,"44743B2Convencional pré-pagamentoRuralServiço público de irrigação ruralNão se aplicaNão se aplicaPonta",Mercado_Receita!$L$2:$L$508)+SUMIF(Mercado_Receita!$S$2:$S$508,"44743B2Convencional pré-pagamentoRuralServiço público de irrigação ruralNão se aplicaNão se aplicaFora ponta",Mercado_Receita!$L$2:$L$508)+SUMIF(Mercado_Receita!$S$2:$S$508,"44743B2Convencional pré-pagamentoRuralServiço público de irrigação ruralNão se aplicaNão se aplicaIntermediário",Mercado_Receita!$L$2:$L$508)+SUMIF(Mercado_Receita!$S$2:$S$508,"44743B2Convencional pré-pagamentoRuralServiço público de irrigação ruralNão se aplicaNão se aplicaNão se aplica",Mercado_Receita!$L$2:$L$508)</f>
        <v>0</v>
      </c>
      <c r="T41" s="13">
        <f>SUMIF(Mercado_Receita!$S$2:$S$508,"44774B2Convencional pré-pagamentoRuralServiço público de irrigação ruralNão se aplicaNão se aplicaPonta",Mercado_Receita!$L$2:$L$508)+SUMIF(Mercado_Receita!$S$2:$S$508,"44774B2Convencional pré-pagamentoRuralServiço público de irrigação ruralNão se aplicaNão se aplicaFora ponta",Mercado_Receita!$L$2:$L$508)+SUMIF(Mercado_Receita!$S$2:$S$508,"44774B2Convencional pré-pagamentoRuralServiço público de irrigação ruralNão se aplicaNão se aplicaIntermediário",Mercado_Receita!$L$2:$L$508)+SUMIF(Mercado_Receita!$S$2:$S$508,"44774B2Convencional pré-pagamentoRuralServiço público de irrigação ruralNão se aplicaNão se aplicaNão se aplica",Mercado_Receita!$L$2:$L$508)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86" t="s">
        <v>33</v>
      </c>
      <c r="B42" s="86" t="s">
        <v>87</v>
      </c>
      <c r="C42" s="86" t="s">
        <v>25</v>
      </c>
      <c r="D42" s="86" t="s">
        <v>25</v>
      </c>
      <c r="E42" s="86" t="s">
        <v>25</v>
      </c>
      <c r="F42" s="86" t="s">
        <v>25</v>
      </c>
      <c r="G42" s="13" t="s">
        <v>74</v>
      </c>
      <c r="H42" s="13" t="s">
        <v>73</v>
      </c>
      <c r="I42" s="13">
        <f>SUMIF(Mercado_Receita!$S$2:$S$508,"44440B3BrancaNão se aplicaNão se aplicaNão se aplicaNão se aplicaPonta",Mercado_Receita!$L$2:$L$508)</f>
        <v>0</v>
      </c>
      <c r="J42" s="13">
        <f>SUMIF(Mercado_Receita!$S$2:$S$508,"44470B3BrancaNão se aplicaNão se aplicaNão se aplicaNão se aplicaPonta",Mercado_Receita!$L$2:$L$508)</f>
        <v>0</v>
      </c>
      <c r="K42" s="13">
        <f>SUMIF(Mercado_Receita!$S$2:$S$508,"44501B3BrancaNão se aplicaNão se aplicaNão se aplicaNão se aplicaPonta",Mercado_Receita!$L$2:$L$508)</f>
        <v>0</v>
      </c>
      <c r="L42" s="13">
        <f>SUMIF(Mercado_Receita!$S$2:$S$508,"44531B3BrancaNão se aplicaNão se aplicaNão se aplicaNão se aplicaPonta",Mercado_Receita!$L$2:$L$508)</f>
        <v>0</v>
      </c>
      <c r="M42" s="13">
        <f>SUMIF(Mercado_Receita!$S$2:$S$508,"44562B3BrancaNão se aplicaNão se aplicaNão se aplicaNão se aplicaPonta",Mercado_Receita!$L$2:$L$508)</f>
        <v>0</v>
      </c>
      <c r="N42" s="13">
        <f>SUMIF(Mercado_Receita!$S$2:$S$508,"44593B3BrancaNão se aplicaNão se aplicaNão se aplicaNão se aplicaPonta",Mercado_Receita!$L$2:$L$508)</f>
        <v>0</v>
      </c>
      <c r="O42" s="13">
        <f>SUMIF(Mercado_Receita!$S$2:$S$508,"44621B3BrancaNão se aplicaNão se aplicaNão se aplicaNão se aplicaPonta",Mercado_Receita!$L$2:$L$508)</f>
        <v>0</v>
      </c>
      <c r="P42" s="13">
        <f>SUMIF(Mercado_Receita!$S$2:$S$508,"44652B3BrancaNão se aplicaNão se aplicaNão se aplicaNão se aplicaPonta",Mercado_Receita!$L$2:$L$508)</f>
        <v>0</v>
      </c>
      <c r="Q42" s="13">
        <f>SUMIF(Mercado_Receita!$S$2:$S$508,"44682B3BrancaNão se aplicaNão se aplicaNão se aplicaNão se aplicaPonta",Mercado_Receita!$L$2:$L$508)</f>
        <v>0</v>
      </c>
      <c r="R42" s="13">
        <f>SUMIF(Mercado_Receita!$S$2:$S$508,"44713B3BrancaNão se aplicaNão se aplicaNão se aplicaNão se aplicaPonta",Mercado_Receita!$L$2:$L$508)</f>
        <v>0</v>
      </c>
      <c r="S42" s="13">
        <f>SUMIF(Mercado_Receita!$S$2:$S$508,"44743B3BrancaNão se aplicaNão se aplicaNão se aplicaNão se aplicaPonta",Mercado_Receita!$L$2:$L$508)</f>
        <v>0</v>
      </c>
      <c r="T42" s="13">
        <f>SUMIF(Mercado_Receita!$S$2:$S$508,"44774B3BrancaNão se aplicaNão se aplicaNão se aplicaNão se aplicaPonta",Mercado_Receita!$L$2:$L$508)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87"/>
      <c r="B43" s="87"/>
      <c r="C43" s="87"/>
      <c r="D43" s="87"/>
      <c r="E43" s="87"/>
      <c r="F43" s="87"/>
      <c r="G43" s="13" t="s">
        <v>85</v>
      </c>
      <c r="H43" s="13" t="s">
        <v>73</v>
      </c>
      <c r="I43" s="13">
        <f>SUMIF(Mercado_Receita!$S$2:$S$508,"44440B3BrancaNão se aplicaNão se aplicaNão se aplicaNão se aplicaIntermediário",Mercado_Receita!$L$2:$L$508)</f>
        <v>0</v>
      </c>
      <c r="J43" s="13">
        <f>SUMIF(Mercado_Receita!$S$2:$S$508,"44470B3BrancaNão se aplicaNão se aplicaNão se aplicaNão se aplicaIntermediário",Mercado_Receita!$L$2:$L$508)</f>
        <v>0</v>
      </c>
      <c r="K43" s="13">
        <f>SUMIF(Mercado_Receita!$S$2:$S$508,"44501B3BrancaNão se aplicaNão se aplicaNão se aplicaNão se aplicaIntermediário",Mercado_Receita!$L$2:$L$508)</f>
        <v>0</v>
      </c>
      <c r="L43" s="13">
        <f>SUMIF(Mercado_Receita!$S$2:$S$508,"44531B3BrancaNão se aplicaNão se aplicaNão se aplicaNão se aplicaIntermediário",Mercado_Receita!$L$2:$L$508)</f>
        <v>0</v>
      </c>
      <c r="M43" s="13">
        <f>SUMIF(Mercado_Receita!$S$2:$S$508,"44562B3BrancaNão se aplicaNão se aplicaNão se aplicaNão se aplicaIntermediário",Mercado_Receita!$L$2:$L$508)</f>
        <v>0</v>
      </c>
      <c r="N43" s="13">
        <f>SUMIF(Mercado_Receita!$S$2:$S$508,"44593B3BrancaNão se aplicaNão se aplicaNão se aplicaNão se aplicaIntermediário",Mercado_Receita!$L$2:$L$508)</f>
        <v>0</v>
      </c>
      <c r="O43" s="13">
        <f>SUMIF(Mercado_Receita!$S$2:$S$508,"44621B3BrancaNão se aplicaNão se aplicaNão se aplicaNão se aplicaIntermediário",Mercado_Receita!$L$2:$L$508)</f>
        <v>0</v>
      </c>
      <c r="P43" s="13">
        <f>SUMIF(Mercado_Receita!$S$2:$S$508,"44652B3BrancaNão se aplicaNão se aplicaNão se aplicaNão se aplicaIntermediário",Mercado_Receita!$L$2:$L$508)</f>
        <v>0</v>
      </c>
      <c r="Q43" s="13">
        <f>SUMIF(Mercado_Receita!$S$2:$S$508,"44682B3BrancaNão se aplicaNão se aplicaNão se aplicaNão se aplicaIntermediário",Mercado_Receita!$L$2:$L$508)</f>
        <v>0</v>
      </c>
      <c r="R43" s="13">
        <f>SUMIF(Mercado_Receita!$S$2:$S$508,"44713B3BrancaNão se aplicaNão se aplicaNão se aplicaNão se aplicaIntermediário",Mercado_Receita!$L$2:$L$508)</f>
        <v>0</v>
      </c>
      <c r="S43" s="13">
        <f>SUMIF(Mercado_Receita!$S$2:$S$508,"44743B3BrancaNão se aplicaNão se aplicaNão se aplicaNão se aplicaIntermediário",Mercado_Receita!$L$2:$L$508)</f>
        <v>0</v>
      </c>
      <c r="T43" s="13">
        <f>SUMIF(Mercado_Receita!$S$2:$S$508,"44774B3BrancaNão se aplicaNão se aplicaNão se aplicaNão se aplicaIntermediário",Mercado_Receita!$L$2:$L$508)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87"/>
      <c r="B44" s="87"/>
      <c r="C44" s="87"/>
      <c r="D44" s="87"/>
      <c r="E44" s="87"/>
      <c r="F44" s="87"/>
      <c r="G44" s="13" t="s">
        <v>75</v>
      </c>
      <c r="H44" s="13" t="s">
        <v>73</v>
      </c>
      <c r="I44" s="13">
        <f>SUMIF(Mercado_Receita!$S$2:$S$508,"44440B3BrancaNão se aplicaNão se aplicaNão se aplicaNão se aplicaFora ponta",Mercado_Receita!$L$2:$L$508)</f>
        <v>0</v>
      </c>
      <c r="J44" s="13">
        <f>SUMIF(Mercado_Receita!$S$2:$S$508,"44470B3BrancaNão se aplicaNão se aplicaNão se aplicaNão se aplicaFora ponta",Mercado_Receita!$L$2:$L$508)</f>
        <v>0</v>
      </c>
      <c r="K44" s="13">
        <f>SUMIF(Mercado_Receita!$S$2:$S$508,"44501B3BrancaNão se aplicaNão se aplicaNão se aplicaNão se aplicaFora ponta",Mercado_Receita!$L$2:$L$508)</f>
        <v>0</v>
      </c>
      <c r="L44" s="13">
        <f>SUMIF(Mercado_Receita!$S$2:$S$508,"44531B3BrancaNão se aplicaNão se aplicaNão se aplicaNão se aplicaFora ponta",Mercado_Receita!$L$2:$L$508)</f>
        <v>0</v>
      </c>
      <c r="M44" s="13">
        <f>SUMIF(Mercado_Receita!$S$2:$S$508,"44562B3BrancaNão se aplicaNão se aplicaNão se aplicaNão se aplicaFora ponta",Mercado_Receita!$L$2:$L$508)</f>
        <v>0</v>
      </c>
      <c r="N44" s="13">
        <f>SUMIF(Mercado_Receita!$S$2:$S$508,"44593B3BrancaNão se aplicaNão se aplicaNão se aplicaNão se aplicaFora ponta",Mercado_Receita!$L$2:$L$508)</f>
        <v>0</v>
      </c>
      <c r="O44" s="13">
        <f>SUMIF(Mercado_Receita!$S$2:$S$508,"44621B3BrancaNão se aplicaNão se aplicaNão se aplicaNão se aplicaFora ponta",Mercado_Receita!$L$2:$L$508)</f>
        <v>0</v>
      </c>
      <c r="P44" s="13">
        <f>SUMIF(Mercado_Receita!$S$2:$S$508,"44652B3BrancaNão se aplicaNão se aplicaNão se aplicaNão se aplicaFora ponta",Mercado_Receita!$L$2:$L$508)</f>
        <v>0</v>
      </c>
      <c r="Q44" s="13">
        <f>SUMIF(Mercado_Receita!$S$2:$S$508,"44682B3BrancaNão se aplicaNão se aplicaNão se aplicaNão se aplicaFora ponta",Mercado_Receita!$L$2:$L$508)</f>
        <v>0</v>
      </c>
      <c r="R44" s="13">
        <f>SUMIF(Mercado_Receita!$S$2:$S$508,"44713B3BrancaNão se aplicaNão se aplicaNão se aplicaNão se aplicaFora ponta",Mercado_Receita!$L$2:$L$508)</f>
        <v>0</v>
      </c>
      <c r="S44" s="13">
        <f>SUMIF(Mercado_Receita!$S$2:$S$508,"44743B3BrancaNão se aplicaNão se aplicaNão se aplicaNão se aplicaFora ponta",Mercado_Receita!$L$2:$L$508)</f>
        <v>0</v>
      </c>
      <c r="T44" s="13">
        <f>SUMIF(Mercado_Receita!$S$2:$S$508,"44774B3BrancaNão se aplicaNão se aplicaNão se aplicaNão se aplicaFora ponta",Mercado_Receita!$L$2:$L$508)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87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79</v>
      </c>
      <c r="H45" s="13" t="s">
        <v>73</v>
      </c>
      <c r="I45" s="13">
        <f>SUMIF(Mercado_Receita!$S$2:$S$508,"44440B3ConvencionalNão se aplicaNão se aplicaNão se aplicaNão se aplicaPonta",Mercado_Receita!$L$2:$L$508)+SUMIF(Mercado_Receita!$S$2:$S$508,"44440B3ConvencionalNão se aplicaNão se aplicaNão se aplicaNão se aplicaFora ponta",Mercado_Receita!$L$2:$L$508)+SUMIF(Mercado_Receita!$S$2:$S$508,"44440B3ConvencionalNão se aplicaNão se aplicaNão se aplicaNão se aplicaIntermediário",Mercado_Receita!$L$2:$L$508)+SUMIF(Mercado_Receita!$S$2:$S$508,"44440B3ConvencionalNão se aplicaNão se aplicaNão se aplicaNão se aplicaNão se aplica",Mercado_Receita!$L$2:$L$508)</f>
        <v>290.697</v>
      </c>
      <c r="J45" s="13">
        <f>SUMIF(Mercado_Receita!$S$2:$S$508,"44470B3ConvencionalNão se aplicaNão se aplicaNão se aplicaNão se aplicaPonta",Mercado_Receita!$L$2:$L$508)+SUMIF(Mercado_Receita!$S$2:$S$508,"44470B3ConvencionalNão se aplicaNão se aplicaNão se aplicaNão se aplicaFora ponta",Mercado_Receita!$L$2:$L$508)+SUMIF(Mercado_Receita!$S$2:$S$508,"44470B3ConvencionalNão se aplicaNão se aplicaNão se aplicaNão se aplicaIntermediário",Mercado_Receita!$L$2:$L$508)+SUMIF(Mercado_Receita!$S$2:$S$508,"44470B3ConvencionalNão se aplicaNão se aplicaNão se aplicaNão se aplicaNão se aplica",Mercado_Receita!$L$2:$L$508)</f>
        <v>89.399999999999977</v>
      </c>
      <c r="K45" s="13">
        <f>SUMIF(Mercado_Receita!$S$2:$S$508,"44501B3ConvencionalNão se aplicaNão se aplicaNão se aplicaNão se aplicaPonta",Mercado_Receita!$L$2:$L$508)+SUMIF(Mercado_Receita!$S$2:$S$508,"44501B3ConvencionalNão se aplicaNão se aplicaNão se aplicaNão se aplicaFora ponta",Mercado_Receita!$L$2:$L$508)+SUMIF(Mercado_Receita!$S$2:$S$508,"44501B3ConvencionalNão se aplicaNão se aplicaNão se aplicaNão se aplicaIntermediário",Mercado_Receita!$L$2:$L$508)+SUMIF(Mercado_Receita!$S$2:$S$508,"44501B3ConvencionalNão se aplicaNão se aplicaNão se aplicaNão se aplicaNão se aplica",Mercado_Receita!$L$2:$L$508)</f>
        <v>207.03899999999999</v>
      </c>
      <c r="L45" s="13">
        <f>SUMIF(Mercado_Receita!$S$2:$S$508,"44531B3ConvencionalNão se aplicaNão se aplicaNão se aplicaNão se aplicaPonta",Mercado_Receita!$L$2:$L$508)+SUMIF(Mercado_Receita!$S$2:$S$508,"44531B3ConvencionalNão se aplicaNão se aplicaNão se aplicaNão se aplicaFora ponta",Mercado_Receita!$L$2:$L$508)+SUMIF(Mercado_Receita!$S$2:$S$508,"44531B3ConvencionalNão se aplicaNão se aplicaNão se aplicaNão se aplicaIntermediário",Mercado_Receita!$L$2:$L$508)+SUMIF(Mercado_Receita!$S$2:$S$508,"44531B3ConvencionalNão se aplicaNão se aplicaNão se aplicaNão se aplicaNão se aplica",Mercado_Receita!$L$2:$L$508)</f>
        <v>199.47499999999999</v>
      </c>
      <c r="M45" s="13">
        <f>SUMIF(Mercado_Receita!$S$2:$S$508,"44562B3ConvencionalNão se aplicaNão se aplicaNão se aplicaNão se aplicaPonta",Mercado_Receita!$L$2:$L$508)+SUMIF(Mercado_Receita!$S$2:$S$508,"44562B3ConvencionalNão se aplicaNão se aplicaNão se aplicaNão se aplicaFora ponta",Mercado_Receita!$L$2:$L$508)+SUMIF(Mercado_Receita!$S$2:$S$508,"44562B3ConvencionalNão se aplicaNão se aplicaNão se aplicaNão se aplicaIntermediário",Mercado_Receita!$L$2:$L$508)+SUMIF(Mercado_Receita!$S$2:$S$508,"44562B3ConvencionalNão se aplicaNão se aplicaNão se aplicaNão se aplicaNão se aplica",Mercado_Receita!$L$2:$L$508)</f>
        <v>168.38899999999998</v>
      </c>
      <c r="N45" s="13">
        <f>SUMIF(Mercado_Receita!$S$2:$S$508,"44593B3ConvencionalNão se aplicaNão se aplicaNão se aplicaNão se aplicaPonta",Mercado_Receita!$L$2:$L$508)+SUMIF(Mercado_Receita!$S$2:$S$508,"44593B3ConvencionalNão se aplicaNão se aplicaNão se aplicaNão se aplicaFora ponta",Mercado_Receita!$L$2:$L$508)+SUMIF(Mercado_Receita!$S$2:$S$508,"44593B3ConvencionalNão se aplicaNão se aplicaNão se aplicaNão se aplicaIntermediário",Mercado_Receita!$L$2:$L$508)+SUMIF(Mercado_Receita!$S$2:$S$508,"44593B3ConvencionalNão se aplicaNão se aplicaNão se aplicaNão se aplicaNão se aplica",Mercado_Receita!$L$2:$L$508)</f>
        <v>181.69399999999999</v>
      </c>
      <c r="O45" s="13">
        <f>SUMIF(Mercado_Receita!$S$2:$S$508,"44621B3ConvencionalNão se aplicaNão se aplicaNão se aplicaNão se aplicaPonta",Mercado_Receita!$L$2:$L$508)+SUMIF(Mercado_Receita!$S$2:$S$508,"44621B3ConvencionalNão se aplicaNão se aplicaNão se aplicaNão se aplicaFora ponta",Mercado_Receita!$L$2:$L$508)+SUMIF(Mercado_Receita!$S$2:$S$508,"44621B3ConvencionalNão se aplicaNão se aplicaNão se aplicaNão se aplicaIntermediário",Mercado_Receita!$L$2:$L$508)+SUMIF(Mercado_Receita!$S$2:$S$508,"44621B3ConvencionalNão se aplicaNão se aplicaNão se aplicaNão se aplicaNão se aplica",Mercado_Receita!$L$2:$L$508)</f>
        <v>182.33299999999997</v>
      </c>
      <c r="P45" s="13">
        <f>SUMIF(Mercado_Receita!$S$2:$S$508,"44652B3ConvencionalNão se aplicaNão se aplicaNão se aplicaNão se aplicaPonta",Mercado_Receita!$L$2:$L$508)+SUMIF(Mercado_Receita!$S$2:$S$508,"44652B3ConvencionalNão se aplicaNão se aplicaNão se aplicaNão se aplicaFora ponta",Mercado_Receita!$L$2:$L$508)+SUMIF(Mercado_Receita!$S$2:$S$508,"44652B3ConvencionalNão se aplicaNão se aplicaNão se aplicaNão se aplicaIntermediário",Mercado_Receita!$L$2:$L$508)+SUMIF(Mercado_Receita!$S$2:$S$508,"44652B3ConvencionalNão se aplicaNão se aplicaNão se aplicaNão se aplicaNão se aplica",Mercado_Receita!$L$2:$L$508)</f>
        <v>184.70899999999997</v>
      </c>
      <c r="Q45" s="13">
        <f>SUMIF(Mercado_Receita!$S$2:$S$508,"44682B3ConvencionalNão se aplicaNão se aplicaNão se aplicaNão se aplicaPonta",Mercado_Receita!$L$2:$L$508)+SUMIF(Mercado_Receita!$S$2:$S$508,"44682B3ConvencionalNão se aplicaNão se aplicaNão se aplicaNão se aplicaFora ponta",Mercado_Receita!$L$2:$L$508)+SUMIF(Mercado_Receita!$S$2:$S$508,"44682B3ConvencionalNão se aplicaNão se aplicaNão se aplicaNão se aplicaIntermediário",Mercado_Receita!$L$2:$L$508)+SUMIF(Mercado_Receita!$S$2:$S$508,"44682B3ConvencionalNão se aplicaNão se aplicaNão se aplicaNão se aplicaNão se aplica",Mercado_Receita!$L$2:$L$508)</f>
        <v>171.40899999999996</v>
      </c>
      <c r="R45" s="13">
        <f>SUMIF(Mercado_Receita!$S$2:$S$508,"44713B3ConvencionalNão se aplicaNão se aplicaNão se aplicaNão se aplicaPonta",Mercado_Receita!$L$2:$L$508)+SUMIF(Mercado_Receita!$S$2:$S$508,"44713B3ConvencionalNão se aplicaNão se aplicaNão se aplicaNão se aplicaFora ponta",Mercado_Receita!$L$2:$L$508)+SUMIF(Mercado_Receita!$S$2:$S$508,"44713B3ConvencionalNão se aplicaNão se aplicaNão se aplicaNão se aplicaIntermediário",Mercado_Receita!$L$2:$L$508)+SUMIF(Mercado_Receita!$S$2:$S$508,"44713B3ConvencionalNão se aplicaNão se aplicaNão se aplicaNão se aplicaNão se aplica",Mercado_Receita!$L$2:$L$508)</f>
        <v>161.93699999999998</v>
      </c>
      <c r="S45" s="13">
        <f>SUMIF(Mercado_Receita!$S$2:$S$508,"44743B3ConvencionalNão se aplicaNão se aplicaNão se aplicaNão se aplicaPonta",Mercado_Receita!$L$2:$L$508)+SUMIF(Mercado_Receita!$S$2:$S$508,"44743B3ConvencionalNão se aplicaNão se aplicaNão se aplicaNão se aplicaFora ponta",Mercado_Receita!$L$2:$L$508)+SUMIF(Mercado_Receita!$S$2:$S$508,"44743B3ConvencionalNão se aplicaNão se aplicaNão se aplicaNão se aplicaIntermediário",Mercado_Receita!$L$2:$L$508)+SUMIF(Mercado_Receita!$S$2:$S$508,"44743B3ConvencionalNão se aplicaNão se aplicaNão se aplicaNão se aplicaNão se aplica",Mercado_Receita!$L$2:$L$508)</f>
        <v>161.44</v>
      </c>
      <c r="T45" s="13">
        <f>SUMIF(Mercado_Receita!$S$2:$S$508,"44774B3ConvencionalNão se aplicaNão se aplicaNão se aplicaNão se aplicaPonta",Mercado_Receita!$L$2:$L$508)+SUMIF(Mercado_Receita!$S$2:$S$508,"44774B3ConvencionalNão se aplicaNão se aplicaNão se aplicaNão se aplicaFora ponta",Mercado_Receita!$L$2:$L$508)+SUMIF(Mercado_Receita!$S$2:$S$508,"44774B3ConvencionalNão se aplicaNão se aplicaNão se aplicaNão se aplicaIntermediário",Mercado_Receita!$L$2:$L$508)+SUMIF(Mercado_Receita!$S$2:$S$508,"44774B3ConvencionalNão se aplicaNão se aplicaNão se aplicaNão se aplicaNão se aplica",Mercado_Receita!$L$2:$L$508)</f>
        <v>204.02100000000002</v>
      </c>
      <c r="U45" s="13">
        <f t="shared" si="0"/>
        <v>2202.5430000000001</v>
      </c>
      <c r="V45" s="13"/>
      <c r="W45" s="13"/>
    </row>
    <row r="46" spans="1:23" ht="11.25" customHeight="1" x14ac:dyDescent="0.25">
      <c r="A46" s="87"/>
      <c r="B46" s="12" t="s">
        <v>89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79</v>
      </c>
      <c r="H46" s="13" t="s">
        <v>73</v>
      </c>
      <c r="I46" s="13">
        <f>SUMIF(Mercado_Receita!$S$2:$S$508,"44440B3Convencional pré-pagamentoNão se aplicaNão se aplicaNão se aplicaNão se aplicaPonta",Mercado_Receita!$L$2:$L$508)+SUMIF(Mercado_Receita!$S$2:$S$508,"44440B3Convencional pré-pagamentoNão se aplicaNão se aplicaNão se aplicaNão se aplicaFora ponta",Mercado_Receita!$L$2:$L$508)+SUMIF(Mercado_Receita!$S$2:$S$508,"44440B3Convencional pré-pagamentoNão se aplicaNão se aplicaNão se aplicaNão se aplicaIntermediário",Mercado_Receita!$L$2:$L$508)+SUMIF(Mercado_Receita!$S$2:$S$508,"44440B3Convencional pré-pagamentoNão se aplicaNão se aplicaNão se aplicaNão se aplicaNão se aplica",Mercado_Receita!$L$2:$L$508)</f>
        <v>0</v>
      </c>
      <c r="J46" s="13">
        <f>SUMIF(Mercado_Receita!$S$2:$S$508,"44470B3Convencional pré-pagamentoNão se aplicaNão se aplicaNão se aplicaNão se aplicaPonta",Mercado_Receita!$L$2:$L$508)+SUMIF(Mercado_Receita!$S$2:$S$508,"44470B3Convencional pré-pagamentoNão se aplicaNão se aplicaNão se aplicaNão se aplicaFora ponta",Mercado_Receita!$L$2:$L$508)+SUMIF(Mercado_Receita!$S$2:$S$508,"44470B3Convencional pré-pagamentoNão se aplicaNão se aplicaNão se aplicaNão se aplicaIntermediário",Mercado_Receita!$L$2:$L$508)+SUMIF(Mercado_Receita!$S$2:$S$508,"44470B3Convencional pré-pagamentoNão se aplicaNão se aplicaNão se aplicaNão se aplicaNão se aplica",Mercado_Receita!$L$2:$L$508)</f>
        <v>0</v>
      </c>
      <c r="K46" s="13">
        <f>SUMIF(Mercado_Receita!$S$2:$S$508,"44501B3Convencional pré-pagamentoNão se aplicaNão se aplicaNão se aplicaNão se aplicaPonta",Mercado_Receita!$L$2:$L$508)+SUMIF(Mercado_Receita!$S$2:$S$508,"44501B3Convencional pré-pagamentoNão se aplicaNão se aplicaNão se aplicaNão se aplicaFora ponta",Mercado_Receita!$L$2:$L$508)+SUMIF(Mercado_Receita!$S$2:$S$508,"44501B3Convencional pré-pagamentoNão se aplicaNão se aplicaNão se aplicaNão se aplicaIntermediário",Mercado_Receita!$L$2:$L$508)+SUMIF(Mercado_Receita!$S$2:$S$508,"44501B3Convencional pré-pagamentoNão se aplicaNão se aplicaNão se aplicaNão se aplicaNão se aplica",Mercado_Receita!$L$2:$L$508)</f>
        <v>0</v>
      </c>
      <c r="L46" s="13">
        <f>SUMIF(Mercado_Receita!$S$2:$S$508,"44531B3Convencional pré-pagamentoNão se aplicaNão se aplicaNão se aplicaNão se aplicaPonta",Mercado_Receita!$L$2:$L$508)+SUMIF(Mercado_Receita!$S$2:$S$508,"44531B3Convencional pré-pagamentoNão se aplicaNão se aplicaNão se aplicaNão se aplicaFora ponta",Mercado_Receita!$L$2:$L$508)+SUMIF(Mercado_Receita!$S$2:$S$508,"44531B3Convencional pré-pagamentoNão se aplicaNão se aplicaNão se aplicaNão se aplicaIntermediário",Mercado_Receita!$L$2:$L$508)+SUMIF(Mercado_Receita!$S$2:$S$508,"44531B3Convencional pré-pagamentoNão se aplicaNão se aplicaNão se aplicaNão se aplicaNão se aplica",Mercado_Receita!$L$2:$L$508)</f>
        <v>0</v>
      </c>
      <c r="M46" s="13">
        <f>SUMIF(Mercado_Receita!$S$2:$S$508,"44562B3Convencional pré-pagamentoNão se aplicaNão se aplicaNão se aplicaNão se aplicaPonta",Mercado_Receita!$L$2:$L$508)+SUMIF(Mercado_Receita!$S$2:$S$508,"44562B3Convencional pré-pagamentoNão se aplicaNão se aplicaNão se aplicaNão se aplicaFora ponta",Mercado_Receita!$L$2:$L$508)+SUMIF(Mercado_Receita!$S$2:$S$508,"44562B3Convencional pré-pagamentoNão se aplicaNão se aplicaNão se aplicaNão se aplicaIntermediário",Mercado_Receita!$L$2:$L$508)+SUMIF(Mercado_Receita!$S$2:$S$508,"44562B3Convencional pré-pagamentoNão se aplicaNão se aplicaNão se aplicaNão se aplicaNão se aplica",Mercado_Receita!$L$2:$L$508)</f>
        <v>0</v>
      </c>
      <c r="N46" s="13">
        <f>SUMIF(Mercado_Receita!$S$2:$S$508,"44593B3Convencional pré-pagamentoNão se aplicaNão se aplicaNão se aplicaNão se aplicaPonta",Mercado_Receita!$L$2:$L$508)+SUMIF(Mercado_Receita!$S$2:$S$508,"44593B3Convencional pré-pagamentoNão se aplicaNão se aplicaNão se aplicaNão se aplicaFora ponta",Mercado_Receita!$L$2:$L$508)+SUMIF(Mercado_Receita!$S$2:$S$508,"44593B3Convencional pré-pagamentoNão se aplicaNão se aplicaNão se aplicaNão se aplicaIntermediário",Mercado_Receita!$L$2:$L$508)+SUMIF(Mercado_Receita!$S$2:$S$508,"44593B3Convencional pré-pagamentoNão se aplicaNão se aplicaNão se aplicaNão se aplicaNão se aplica",Mercado_Receita!$L$2:$L$508)</f>
        <v>0</v>
      </c>
      <c r="O46" s="13">
        <f>SUMIF(Mercado_Receita!$S$2:$S$508,"44621B3Convencional pré-pagamentoNão se aplicaNão se aplicaNão se aplicaNão se aplicaPonta",Mercado_Receita!$L$2:$L$508)+SUMIF(Mercado_Receita!$S$2:$S$508,"44621B3Convencional pré-pagamentoNão se aplicaNão se aplicaNão se aplicaNão se aplicaFora ponta",Mercado_Receita!$L$2:$L$508)+SUMIF(Mercado_Receita!$S$2:$S$508,"44621B3Convencional pré-pagamentoNão se aplicaNão se aplicaNão se aplicaNão se aplicaIntermediário",Mercado_Receita!$L$2:$L$508)+SUMIF(Mercado_Receita!$S$2:$S$508,"44621B3Convencional pré-pagamentoNão se aplicaNão se aplicaNão se aplicaNão se aplicaNão se aplica",Mercado_Receita!$L$2:$L$508)</f>
        <v>0</v>
      </c>
      <c r="P46" s="13">
        <f>SUMIF(Mercado_Receita!$S$2:$S$508,"44652B3Convencional pré-pagamentoNão se aplicaNão se aplicaNão se aplicaNão se aplicaPonta",Mercado_Receita!$L$2:$L$508)+SUMIF(Mercado_Receita!$S$2:$S$508,"44652B3Convencional pré-pagamentoNão se aplicaNão se aplicaNão se aplicaNão se aplicaFora ponta",Mercado_Receita!$L$2:$L$508)+SUMIF(Mercado_Receita!$S$2:$S$508,"44652B3Convencional pré-pagamentoNão se aplicaNão se aplicaNão se aplicaNão se aplicaIntermediário",Mercado_Receita!$L$2:$L$508)+SUMIF(Mercado_Receita!$S$2:$S$508,"44652B3Convencional pré-pagamentoNão se aplicaNão se aplicaNão se aplicaNão se aplicaNão se aplica",Mercado_Receita!$L$2:$L$508)</f>
        <v>0</v>
      </c>
      <c r="Q46" s="13">
        <f>SUMIF(Mercado_Receita!$S$2:$S$508,"44682B3Convencional pré-pagamentoNão se aplicaNão se aplicaNão se aplicaNão se aplicaPonta",Mercado_Receita!$L$2:$L$508)+SUMIF(Mercado_Receita!$S$2:$S$508,"44682B3Convencional pré-pagamentoNão se aplicaNão se aplicaNão se aplicaNão se aplicaFora ponta",Mercado_Receita!$L$2:$L$508)+SUMIF(Mercado_Receita!$S$2:$S$508,"44682B3Convencional pré-pagamentoNão se aplicaNão se aplicaNão se aplicaNão se aplicaIntermediário",Mercado_Receita!$L$2:$L$508)+SUMIF(Mercado_Receita!$S$2:$S$508,"44682B3Convencional pré-pagamentoNão se aplicaNão se aplicaNão se aplicaNão se aplicaNão se aplica",Mercado_Receita!$L$2:$L$508)</f>
        <v>0</v>
      </c>
      <c r="R46" s="13">
        <f>SUMIF(Mercado_Receita!$S$2:$S$508,"44713B3Convencional pré-pagamentoNão se aplicaNão se aplicaNão se aplicaNão se aplicaPonta",Mercado_Receita!$L$2:$L$508)+SUMIF(Mercado_Receita!$S$2:$S$508,"44713B3Convencional pré-pagamentoNão se aplicaNão se aplicaNão se aplicaNão se aplicaFora ponta",Mercado_Receita!$L$2:$L$508)+SUMIF(Mercado_Receita!$S$2:$S$508,"44713B3Convencional pré-pagamentoNão se aplicaNão se aplicaNão se aplicaNão se aplicaIntermediário",Mercado_Receita!$L$2:$L$508)+SUMIF(Mercado_Receita!$S$2:$S$508,"44713B3Convencional pré-pagamentoNão se aplicaNão se aplicaNão se aplicaNão se aplicaNão se aplica",Mercado_Receita!$L$2:$L$508)</f>
        <v>0</v>
      </c>
      <c r="S46" s="13">
        <f>SUMIF(Mercado_Receita!$S$2:$S$508,"44743B3Convencional pré-pagamentoNão se aplicaNão se aplicaNão se aplicaNão se aplicaPonta",Mercado_Receita!$L$2:$L$508)+SUMIF(Mercado_Receita!$S$2:$S$508,"44743B3Convencional pré-pagamentoNão se aplicaNão se aplicaNão se aplicaNão se aplicaFora ponta",Mercado_Receita!$L$2:$L$508)+SUMIF(Mercado_Receita!$S$2:$S$508,"44743B3Convencional pré-pagamentoNão se aplicaNão se aplicaNão se aplicaNão se aplicaIntermediário",Mercado_Receita!$L$2:$L$508)+SUMIF(Mercado_Receita!$S$2:$S$508,"44743B3Convencional pré-pagamentoNão se aplicaNão se aplicaNão se aplicaNão se aplicaNão se aplica",Mercado_Receita!$L$2:$L$508)</f>
        <v>0</v>
      </c>
      <c r="T46" s="13">
        <f>SUMIF(Mercado_Receita!$S$2:$S$508,"44774B3Convencional pré-pagamentoNão se aplicaNão se aplicaNão se aplicaNão se aplicaPonta",Mercado_Receita!$L$2:$L$508)+SUMIF(Mercado_Receita!$S$2:$S$508,"44774B3Convencional pré-pagamentoNão se aplicaNão se aplicaNão se aplicaNão se aplicaFora ponta",Mercado_Receita!$L$2:$L$508)+SUMIF(Mercado_Receita!$S$2:$S$508,"44774B3Convencional pré-pagamentoNão se aplicaNão se aplicaNão se aplicaNão se aplicaIntermediário",Mercado_Receita!$L$2:$L$508)+SUMIF(Mercado_Receita!$S$2:$S$508,"44774B3Convencional pré-pagamentoNão se aplicaNão se aplicaNão se aplicaNão se aplicaNão se aplica",Mercado_Receita!$L$2:$L$508)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86" t="s">
        <v>43</v>
      </c>
      <c r="B47" s="86" t="s">
        <v>23</v>
      </c>
      <c r="C47" s="86" t="s">
        <v>44</v>
      </c>
      <c r="D47" s="12" t="s">
        <v>45</v>
      </c>
      <c r="E47" s="12" t="s">
        <v>25</v>
      </c>
      <c r="F47" s="12" t="s">
        <v>25</v>
      </c>
      <c r="G47" s="13" t="s">
        <v>79</v>
      </c>
      <c r="H47" s="13" t="s">
        <v>73</v>
      </c>
      <c r="I47" s="13">
        <f>SUMIF(Mercado_Receita!$S$2:$S$508,"44440B4ConvencionalIluminação públicaIluminação pública – B4aNão se aplicaNão se aplicaPonta",Mercado_Receita!$L$2:$L$508)+SUMIF(Mercado_Receita!$S$2:$S$508,"44440B4ConvencionalIluminação públicaIluminação pública – B4aNão se aplicaNão se aplicaFora ponta",Mercado_Receita!$L$2:$L$508)+SUMIF(Mercado_Receita!$S$2:$S$508,"44440B4ConvencionalIluminação públicaIluminação pública – B4aNão se aplicaNão se aplicaIntermediário",Mercado_Receita!$L$2:$L$508)+SUMIF(Mercado_Receita!$S$2:$S$508,"44440B4ConvencionalIluminação públicaIluminação pública – B4aNão se aplicaNão se aplicaNão se aplica",Mercado_Receita!$L$2:$L$508)</f>
        <v>63.576000000000001</v>
      </c>
      <c r="J47" s="13">
        <f>SUMIF(Mercado_Receita!$S$2:$S$508,"44470B4ConvencionalIluminação públicaIluminação pública – B4aNão se aplicaNão se aplicaPonta",Mercado_Receita!$L$2:$L$508)+SUMIF(Mercado_Receita!$S$2:$S$508,"44470B4ConvencionalIluminação públicaIluminação pública – B4aNão se aplicaNão se aplicaFora ponta",Mercado_Receita!$L$2:$L$508)+SUMIF(Mercado_Receita!$S$2:$S$508,"44470B4ConvencionalIluminação públicaIluminação pública – B4aNão se aplicaNão se aplicaIntermediário",Mercado_Receita!$L$2:$L$508)+SUMIF(Mercado_Receita!$S$2:$S$508,"44470B4ConvencionalIluminação públicaIluminação pública – B4aNão se aplicaNão se aplicaNão se aplica",Mercado_Receita!$L$2:$L$508)</f>
        <v>65.489000000000004</v>
      </c>
      <c r="K47" s="13">
        <f>SUMIF(Mercado_Receita!$S$2:$S$508,"44501B4ConvencionalIluminação públicaIluminação pública – B4aNão se aplicaNão se aplicaPonta",Mercado_Receita!$L$2:$L$508)+SUMIF(Mercado_Receita!$S$2:$S$508,"44501B4ConvencionalIluminação públicaIluminação pública – B4aNão se aplicaNão se aplicaFora ponta",Mercado_Receita!$L$2:$L$508)+SUMIF(Mercado_Receita!$S$2:$S$508,"44501B4ConvencionalIluminação públicaIluminação pública – B4aNão se aplicaNão se aplicaIntermediário",Mercado_Receita!$L$2:$L$508)+SUMIF(Mercado_Receita!$S$2:$S$508,"44501B4ConvencionalIluminação públicaIluminação pública – B4aNão se aplicaNão se aplicaNão se aplica",Mercado_Receita!$L$2:$L$508)</f>
        <v>65.093000000000004</v>
      </c>
      <c r="L47" s="13">
        <f>SUMIF(Mercado_Receita!$S$2:$S$508,"44531B4ConvencionalIluminação públicaIluminação pública – B4aNão se aplicaNão se aplicaPonta",Mercado_Receita!$L$2:$L$508)+SUMIF(Mercado_Receita!$S$2:$S$508,"44531B4ConvencionalIluminação públicaIluminação pública – B4aNão se aplicaNão se aplicaFora ponta",Mercado_Receita!$L$2:$L$508)+SUMIF(Mercado_Receita!$S$2:$S$508,"44531B4ConvencionalIluminação públicaIluminação pública – B4aNão se aplicaNão se aplicaIntermediário",Mercado_Receita!$L$2:$L$508)+SUMIF(Mercado_Receita!$S$2:$S$508,"44531B4ConvencionalIluminação públicaIluminação pública – B4aNão se aplicaNão se aplicaNão se aplica",Mercado_Receita!$L$2:$L$508)</f>
        <v>66.756</v>
      </c>
      <c r="M47" s="13">
        <f>SUMIF(Mercado_Receita!$S$2:$S$508,"44562B4ConvencionalIluminação públicaIluminação pública – B4aNão se aplicaNão se aplicaPonta",Mercado_Receita!$L$2:$L$508)+SUMIF(Mercado_Receita!$S$2:$S$508,"44562B4ConvencionalIluminação públicaIluminação pública – B4aNão se aplicaNão se aplicaFora ponta",Mercado_Receita!$L$2:$L$508)+SUMIF(Mercado_Receita!$S$2:$S$508,"44562B4ConvencionalIluminação públicaIluminação pública – B4aNão se aplicaNão se aplicaIntermediário",Mercado_Receita!$L$2:$L$508)+SUMIF(Mercado_Receita!$S$2:$S$508,"44562B4ConvencionalIluminação públicaIluminação pública – B4aNão se aplicaNão se aplicaNão se aplica",Mercado_Receita!$L$2:$L$508)</f>
        <v>66.445999999999998</v>
      </c>
      <c r="N47" s="13">
        <f>SUMIF(Mercado_Receita!$S$2:$S$508,"44593B4ConvencionalIluminação públicaIluminação pública – B4aNão se aplicaNão se aplicaPonta",Mercado_Receita!$L$2:$L$508)+SUMIF(Mercado_Receita!$S$2:$S$508,"44593B4ConvencionalIluminação públicaIluminação pública – B4aNão se aplicaNão se aplicaFora ponta",Mercado_Receita!$L$2:$L$508)+SUMIF(Mercado_Receita!$S$2:$S$508,"44593B4ConvencionalIluminação públicaIluminação pública – B4aNão se aplicaNão se aplicaIntermediário",Mercado_Receita!$L$2:$L$508)+SUMIF(Mercado_Receita!$S$2:$S$508,"44593B4ConvencionalIluminação públicaIluminação pública – B4aNão se aplicaNão se aplicaNão se aplica",Mercado_Receita!$L$2:$L$508)</f>
        <v>60.360999999999997</v>
      </c>
      <c r="O47" s="13">
        <f>SUMIF(Mercado_Receita!$S$2:$S$508,"44621B4ConvencionalIluminação públicaIluminação pública – B4aNão se aplicaNão se aplicaPonta",Mercado_Receita!$L$2:$L$508)+SUMIF(Mercado_Receita!$S$2:$S$508,"44621B4ConvencionalIluminação públicaIluminação pública – B4aNão se aplicaNão se aplicaFora ponta",Mercado_Receita!$L$2:$L$508)+SUMIF(Mercado_Receita!$S$2:$S$508,"44621B4ConvencionalIluminação públicaIluminação pública – B4aNão se aplicaNão se aplicaIntermediário",Mercado_Receita!$L$2:$L$508)+SUMIF(Mercado_Receita!$S$2:$S$508,"44621B4ConvencionalIluminação públicaIluminação pública – B4aNão se aplicaNão se aplicaNão se aplica",Mercado_Receita!$L$2:$L$508)</f>
        <v>66.873999999999995</v>
      </c>
      <c r="P47" s="13">
        <f>SUMIF(Mercado_Receita!$S$2:$S$508,"44652B4ConvencionalIluminação públicaIluminação pública – B4aNão se aplicaNão se aplicaPonta",Mercado_Receita!$L$2:$L$508)+SUMIF(Mercado_Receita!$S$2:$S$508,"44652B4ConvencionalIluminação públicaIluminação pública – B4aNão se aplicaNão se aplicaFora ponta",Mercado_Receita!$L$2:$L$508)+SUMIF(Mercado_Receita!$S$2:$S$508,"44652B4ConvencionalIluminação públicaIluminação pública – B4aNão se aplicaNão se aplicaIntermediário",Mercado_Receita!$L$2:$L$508)+SUMIF(Mercado_Receita!$S$2:$S$508,"44652B4ConvencionalIluminação públicaIluminação pública – B4aNão se aplicaNão se aplicaNão se aplica",Mercado_Receita!$L$2:$L$508)</f>
        <v>66.096000000000004</v>
      </c>
      <c r="Q47" s="13">
        <f>SUMIF(Mercado_Receita!$S$2:$S$508,"44682B4ConvencionalIluminação públicaIluminação pública – B4aNão se aplicaNão se aplicaPonta",Mercado_Receita!$L$2:$L$508)+SUMIF(Mercado_Receita!$S$2:$S$508,"44682B4ConvencionalIluminação públicaIluminação pública – B4aNão se aplicaNão se aplicaFora ponta",Mercado_Receita!$L$2:$L$508)+SUMIF(Mercado_Receita!$S$2:$S$508,"44682B4ConvencionalIluminação públicaIluminação pública – B4aNão se aplicaNão se aplicaIntermediário",Mercado_Receita!$L$2:$L$508)+SUMIF(Mercado_Receita!$S$2:$S$508,"44682B4ConvencionalIluminação públicaIluminação pública – B4aNão se aplicaNão se aplicaNão se aplica",Mercado_Receita!$L$2:$L$508)</f>
        <v>67.013999999999996</v>
      </c>
      <c r="R47" s="13">
        <f>SUMIF(Mercado_Receita!$S$2:$S$508,"44713B4ConvencionalIluminação públicaIluminação pública – B4aNão se aplicaNão se aplicaPonta",Mercado_Receita!$L$2:$L$508)+SUMIF(Mercado_Receita!$S$2:$S$508,"44713B4ConvencionalIluminação públicaIluminação pública – B4aNão se aplicaNão se aplicaFora ponta",Mercado_Receita!$L$2:$L$508)+SUMIF(Mercado_Receita!$S$2:$S$508,"44713B4ConvencionalIluminação públicaIluminação pública – B4aNão se aplicaNão se aplicaIntermediário",Mercado_Receita!$L$2:$L$508)+SUMIF(Mercado_Receita!$S$2:$S$508,"44713B4ConvencionalIluminação públicaIluminação pública – B4aNão se aplicaNão se aplicaNão se aplica",Mercado_Receita!$L$2:$L$508)</f>
        <v>64.759</v>
      </c>
      <c r="S47" s="13">
        <f>SUMIF(Mercado_Receita!$S$2:$S$508,"44743B4ConvencionalIluminação públicaIluminação pública – B4aNão se aplicaNão se aplicaPonta",Mercado_Receita!$L$2:$L$508)+SUMIF(Mercado_Receita!$S$2:$S$508,"44743B4ConvencionalIluminação públicaIluminação pública – B4aNão se aplicaNão se aplicaFora ponta",Mercado_Receita!$L$2:$L$508)+SUMIF(Mercado_Receita!$S$2:$S$508,"44743B4ConvencionalIluminação públicaIluminação pública – B4aNão se aplicaNão se aplicaIntermediário",Mercado_Receita!$L$2:$L$508)+SUMIF(Mercado_Receita!$S$2:$S$508,"44743B4ConvencionalIluminação públicaIluminação pública – B4aNão se aplicaNão se aplicaNão se aplica",Mercado_Receita!$L$2:$L$508)</f>
        <v>66.870999999999995</v>
      </c>
      <c r="T47" s="13">
        <f>SUMIF(Mercado_Receita!$S$2:$S$508,"44774B4ConvencionalIluminação públicaIluminação pública – B4aNão se aplicaNão se aplicaPonta",Mercado_Receita!$L$2:$L$508)+SUMIF(Mercado_Receita!$S$2:$S$508,"44774B4ConvencionalIluminação públicaIluminação pública – B4aNão se aplicaNão se aplicaFora ponta",Mercado_Receita!$L$2:$L$508)+SUMIF(Mercado_Receita!$S$2:$S$508,"44774B4ConvencionalIluminação públicaIluminação pública – B4aNão se aplicaNão se aplicaIntermediário",Mercado_Receita!$L$2:$L$508)+SUMIF(Mercado_Receita!$S$2:$S$508,"44774B4ConvencionalIluminação públicaIluminação pública – B4aNão se aplicaNão se aplicaNão se aplica",Mercado_Receita!$L$2:$L$508)</f>
        <v>66.802999999999997</v>
      </c>
      <c r="U47" s="13">
        <f t="shared" si="0"/>
        <v>786.13800000000003</v>
      </c>
      <c r="V47" s="13"/>
      <c r="W47" s="13"/>
    </row>
    <row r="48" spans="1:23" ht="11.25" customHeight="1" x14ac:dyDescent="0.25">
      <c r="A48" s="87"/>
      <c r="B48" s="87"/>
      <c r="C48" s="87"/>
      <c r="D48" s="13" t="s">
        <v>46</v>
      </c>
      <c r="E48" s="13" t="s">
        <v>25</v>
      </c>
      <c r="F48" s="13" t="s">
        <v>25</v>
      </c>
      <c r="G48" s="13" t="s">
        <v>79</v>
      </c>
      <c r="H48" s="13" t="s">
        <v>73</v>
      </c>
      <c r="I48" s="13">
        <f>SUMIF(Mercado_Receita!$S$2:$S$508,"44440B4ConvencionalIluminação públicaIluminação pública – B4bNão se aplicaNão se aplicaPonta",Mercado_Receita!$L$2:$L$508)+SUMIF(Mercado_Receita!$S$2:$S$508,"44440B4ConvencionalIluminação públicaIluminação pública – B4bNão se aplicaNão se aplicaFora ponta",Mercado_Receita!$L$2:$L$508)+SUMIF(Mercado_Receita!$S$2:$S$508,"44440B4ConvencionalIluminação públicaIluminação pública – B4bNão se aplicaNão se aplicaIntermediário",Mercado_Receita!$L$2:$L$508)+SUMIF(Mercado_Receita!$S$2:$S$508,"44440B4ConvencionalIluminação públicaIluminação pública – B4bNão se aplicaNão se aplicaNão se aplica",Mercado_Receita!$L$2:$L$508)</f>
        <v>2.0880000000000001</v>
      </c>
      <c r="J48" s="13">
        <f>SUMIF(Mercado_Receita!$S$2:$S$508,"44470B4ConvencionalIluminação públicaIluminação pública – B4bNão se aplicaNão se aplicaPonta",Mercado_Receita!$L$2:$L$508)+SUMIF(Mercado_Receita!$S$2:$S$508,"44470B4ConvencionalIluminação públicaIluminação pública – B4bNão se aplicaNão se aplicaFora ponta",Mercado_Receita!$L$2:$L$508)+SUMIF(Mercado_Receita!$S$2:$S$508,"44470B4ConvencionalIluminação públicaIluminação pública – B4bNão se aplicaNão se aplicaIntermediário",Mercado_Receita!$L$2:$L$508)+SUMIF(Mercado_Receita!$S$2:$S$508,"44470B4ConvencionalIluminação públicaIluminação pública – B4bNão se aplicaNão se aplicaNão se aplica",Mercado_Receita!$L$2:$L$508)</f>
        <v>2.157</v>
      </c>
      <c r="K48" s="13">
        <f>SUMIF(Mercado_Receita!$S$2:$S$508,"44501B4ConvencionalIluminação públicaIluminação pública – B4bNão se aplicaNão se aplicaPonta",Mercado_Receita!$L$2:$L$508)+SUMIF(Mercado_Receita!$S$2:$S$508,"44501B4ConvencionalIluminação públicaIluminação pública – B4bNão se aplicaNão se aplicaFora ponta",Mercado_Receita!$L$2:$L$508)+SUMIF(Mercado_Receita!$S$2:$S$508,"44501B4ConvencionalIluminação públicaIluminação pública – B4bNão se aplicaNão se aplicaIntermediário",Mercado_Receita!$L$2:$L$508)+SUMIF(Mercado_Receita!$S$2:$S$508,"44501B4ConvencionalIluminação públicaIluminação pública – B4bNão se aplicaNão se aplicaNão se aplica",Mercado_Receita!$L$2:$L$508)</f>
        <v>2.0880000000000001</v>
      </c>
      <c r="L48" s="13">
        <f>SUMIF(Mercado_Receita!$S$2:$S$508,"44531B4ConvencionalIluminação públicaIluminação pública – B4bNão se aplicaNão se aplicaPonta",Mercado_Receita!$L$2:$L$508)+SUMIF(Mercado_Receita!$S$2:$S$508,"44531B4ConvencionalIluminação públicaIluminação pública – B4bNão se aplicaNão se aplicaFora ponta",Mercado_Receita!$L$2:$L$508)+SUMIF(Mercado_Receita!$S$2:$S$508,"44531B4ConvencionalIluminação públicaIluminação pública – B4bNão se aplicaNão se aplicaIntermediário",Mercado_Receita!$L$2:$L$508)+SUMIF(Mercado_Receita!$S$2:$S$508,"44531B4ConvencionalIluminação públicaIluminação pública – B4bNão se aplicaNão se aplicaNão se aplica",Mercado_Receita!$L$2:$L$508)</f>
        <v>2.157</v>
      </c>
      <c r="M48" s="13">
        <f>SUMIF(Mercado_Receita!$S$2:$S$508,"44562B4ConvencionalIluminação públicaIluminação pública – B4bNão se aplicaNão se aplicaPonta",Mercado_Receita!$L$2:$L$508)+SUMIF(Mercado_Receita!$S$2:$S$508,"44562B4ConvencionalIluminação públicaIluminação pública – B4bNão se aplicaNão se aplicaFora ponta",Mercado_Receita!$L$2:$L$508)+SUMIF(Mercado_Receita!$S$2:$S$508,"44562B4ConvencionalIluminação públicaIluminação pública – B4bNão se aplicaNão se aplicaIntermediário",Mercado_Receita!$L$2:$L$508)+SUMIF(Mercado_Receita!$S$2:$S$508,"44562B4ConvencionalIluminação públicaIluminação pública – B4bNão se aplicaNão se aplicaNão se aplica",Mercado_Receita!$L$2:$L$508)</f>
        <v>2.157</v>
      </c>
      <c r="N48" s="13">
        <f>SUMIF(Mercado_Receita!$S$2:$S$508,"44593B4ConvencionalIluminação públicaIluminação pública – B4bNão se aplicaNão se aplicaPonta",Mercado_Receita!$L$2:$L$508)+SUMIF(Mercado_Receita!$S$2:$S$508,"44593B4ConvencionalIluminação públicaIluminação pública – B4bNão se aplicaNão se aplicaFora ponta",Mercado_Receita!$L$2:$L$508)+SUMIF(Mercado_Receita!$S$2:$S$508,"44593B4ConvencionalIluminação públicaIluminação pública – B4bNão se aplicaNão se aplicaIntermediário",Mercado_Receita!$L$2:$L$508)+SUMIF(Mercado_Receita!$S$2:$S$508,"44593B4ConvencionalIluminação públicaIluminação pública – B4bNão se aplicaNão se aplicaNão se aplica",Mercado_Receita!$L$2:$L$508)</f>
        <v>1.948</v>
      </c>
      <c r="O48" s="13">
        <f>SUMIF(Mercado_Receita!$S$2:$S$508,"44621B4ConvencionalIluminação públicaIluminação pública – B4bNão se aplicaNão se aplicaPonta",Mercado_Receita!$L$2:$L$508)+SUMIF(Mercado_Receita!$S$2:$S$508,"44621B4ConvencionalIluminação públicaIluminação pública – B4bNão se aplicaNão se aplicaFora ponta",Mercado_Receita!$L$2:$L$508)+SUMIF(Mercado_Receita!$S$2:$S$508,"44621B4ConvencionalIluminação públicaIluminação pública – B4bNão se aplicaNão se aplicaIntermediário",Mercado_Receita!$L$2:$L$508)+SUMIF(Mercado_Receita!$S$2:$S$508,"44621B4ConvencionalIluminação públicaIluminação pública – B4bNão se aplicaNão se aplicaNão se aplica",Mercado_Receita!$L$2:$L$508)</f>
        <v>2.157</v>
      </c>
      <c r="P48" s="13">
        <f>SUMIF(Mercado_Receita!$S$2:$S$508,"44652B4ConvencionalIluminação públicaIluminação pública – B4bNão se aplicaNão se aplicaPonta",Mercado_Receita!$L$2:$L$508)+SUMIF(Mercado_Receita!$S$2:$S$508,"44652B4ConvencionalIluminação públicaIluminação pública – B4bNão se aplicaNão se aplicaFora ponta",Mercado_Receita!$L$2:$L$508)+SUMIF(Mercado_Receita!$S$2:$S$508,"44652B4ConvencionalIluminação públicaIluminação pública – B4bNão se aplicaNão se aplicaIntermediário",Mercado_Receita!$L$2:$L$508)+SUMIF(Mercado_Receita!$S$2:$S$508,"44652B4ConvencionalIluminação públicaIluminação pública – B4bNão se aplicaNão se aplicaNão se aplica",Mercado_Receita!$L$2:$L$508)</f>
        <v>2.0880000000000001</v>
      </c>
      <c r="Q48" s="13">
        <f>SUMIF(Mercado_Receita!$S$2:$S$508,"44682B4ConvencionalIluminação públicaIluminação pública – B4bNão se aplicaNão se aplicaPonta",Mercado_Receita!$L$2:$L$508)+SUMIF(Mercado_Receita!$S$2:$S$508,"44682B4ConvencionalIluminação públicaIluminação pública – B4bNão se aplicaNão se aplicaFora ponta",Mercado_Receita!$L$2:$L$508)+SUMIF(Mercado_Receita!$S$2:$S$508,"44682B4ConvencionalIluminação públicaIluminação pública – B4bNão se aplicaNão se aplicaIntermediário",Mercado_Receita!$L$2:$L$508)+SUMIF(Mercado_Receita!$S$2:$S$508,"44682B4ConvencionalIluminação públicaIluminação pública – B4bNão se aplicaNão se aplicaNão se aplica",Mercado_Receita!$L$2:$L$508)</f>
        <v>2.157</v>
      </c>
      <c r="R48" s="13">
        <f>SUMIF(Mercado_Receita!$S$2:$S$508,"44713B4ConvencionalIluminação públicaIluminação pública – B4bNão se aplicaNão se aplicaPonta",Mercado_Receita!$L$2:$L$508)+SUMIF(Mercado_Receita!$S$2:$S$508,"44713B4ConvencionalIluminação públicaIluminação pública – B4bNão se aplicaNão se aplicaFora ponta",Mercado_Receita!$L$2:$L$508)+SUMIF(Mercado_Receita!$S$2:$S$508,"44713B4ConvencionalIluminação públicaIluminação pública – B4bNão se aplicaNão se aplicaIntermediário",Mercado_Receita!$L$2:$L$508)+SUMIF(Mercado_Receita!$S$2:$S$508,"44713B4ConvencionalIluminação públicaIluminação pública – B4bNão se aplicaNão se aplicaNão se aplica",Mercado_Receita!$L$2:$L$508)</f>
        <v>2.0880000000000001</v>
      </c>
      <c r="S48" s="13">
        <f>SUMIF(Mercado_Receita!$S$2:$S$508,"44743B4ConvencionalIluminação públicaIluminação pública – B4bNão se aplicaNão se aplicaPonta",Mercado_Receita!$L$2:$L$508)+SUMIF(Mercado_Receita!$S$2:$S$508,"44743B4ConvencionalIluminação públicaIluminação pública – B4bNão se aplicaNão se aplicaFora ponta",Mercado_Receita!$L$2:$L$508)+SUMIF(Mercado_Receita!$S$2:$S$508,"44743B4ConvencionalIluminação públicaIluminação pública – B4bNão se aplicaNão se aplicaIntermediário",Mercado_Receita!$L$2:$L$508)+SUMIF(Mercado_Receita!$S$2:$S$508,"44743B4ConvencionalIluminação públicaIluminação pública – B4bNão se aplicaNão se aplicaNão se aplica",Mercado_Receita!$L$2:$L$508)</f>
        <v>2.157</v>
      </c>
      <c r="T48" s="13">
        <f>SUMIF(Mercado_Receita!$S$2:$S$508,"44774B4ConvencionalIluminação públicaIluminação pública – B4bNão se aplicaNão se aplicaPonta",Mercado_Receita!$L$2:$L$508)+SUMIF(Mercado_Receita!$S$2:$S$508,"44774B4ConvencionalIluminação públicaIluminação pública – B4bNão se aplicaNão se aplicaFora ponta",Mercado_Receita!$L$2:$L$508)+SUMIF(Mercado_Receita!$S$2:$S$508,"44774B4ConvencionalIluminação públicaIluminação pública – B4bNão se aplicaNão se aplicaIntermediário",Mercado_Receita!$L$2:$L$508)+SUMIF(Mercado_Receita!$S$2:$S$508,"44774B4ConvencionalIluminação públicaIluminação pública – B4bNão se aplicaNão se aplicaNão se aplica",Mercado_Receita!$L$2:$L$508)</f>
        <v>2.157</v>
      </c>
      <c r="U48" s="13">
        <f t="shared" si="0"/>
        <v>25.399000000000001</v>
      </c>
      <c r="V48" s="13"/>
      <c r="W48" s="13"/>
    </row>
    <row r="49" spans="1:23" ht="11.25" customHeight="1" x14ac:dyDescent="0.25">
      <c r="A49" s="88" t="s">
        <v>410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D89C-5480-40D9-98F3-758627845906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1" width="7" style="9" bestFit="1" customWidth="1"/>
    <col min="12" max="12" width="6.140625" style="9" bestFit="1" customWidth="1"/>
    <col min="13" max="14" width="5.7109375" style="9" bestFit="1" customWidth="1"/>
    <col min="15" max="15" width="6.42578125" style="9" bestFit="1" customWidth="1"/>
    <col min="16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6" t="s">
        <v>35</v>
      </c>
      <c r="B2" s="86" t="s">
        <v>72</v>
      </c>
      <c r="C2" s="86" t="s">
        <v>25</v>
      </c>
      <c r="D2" s="86" t="s">
        <v>25</v>
      </c>
      <c r="E2" s="86" t="s">
        <v>25</v>
      </c>
      <c r="F2" s="86" t="s">
        <v>25</v>
      </c>
      <c r="G2" s="13" t="s">
        <v>74</v>
      </c>
      <c r="H2" s="13" t="s">
        <v>73</v>
      </c>
      <c r="I2" s="13">
        <f>SUMIF(Mercado_Receita!$T$2:$T$508,"44440A4Energia horáriaNão se aplicaNão se aplicaNão se aplicaNão se aplicaPonta",Mercado_Receita!$N$2:$N$508)</f>
        <v>36.532000000000004</v>
      </c>
      <c r="J2" s="13">
        <f>SUMIF(Mercado_Receita!$T$2:$T$508,"44470A4Energia horáriaNão se aplicaNão se aplicaNão se aplicaNão se aplicaPonta",Mercado_Receita!$N$2:$N$508)</f>
        <v>40.956000000000003</v>
      </c>
      <c r="K2" s="13">
        <f>SUMIF(Mercado_Receita!$T$2:$T$508,"44501A4Energia horáriaNão se aplicaNão se aplicaNão se aplicaNão se aplicaPonta",Mercado_Receita!$N$2:$N$508)</f>
        <v>31.222999999999999</v>
      </c>
      <c r="L2" s="13">
        <f>SUMIF(Mercado_Receita!$T$2:$T$508,"44531A4Energia horáriaNão se aplicaNão se aplicaNão se aplicaNão se aplicaPonta",Mercado_Receita!$N$2:$N$508)</f>
        <v>28.596000000000004</v>
      </c>
      <c r="M2" s="13">
        <f>SUMIF(Mercado_Receita!$T$2:$T$508,"44562A4Energia horáriaNão se aplicaNão se aplicaNão se aplicaNão se aplicaPonta",Mercado_Receita!$N$2:$N$508)</f>
        <v>27.271999999999998</v>
      </c>
      <c r="N2" s="13">
        <f>SUMIF(Mercado_Receita!$T$2:$T$508,"44593A4Energia horáriaNão se aplicaNão se aplicaNão se aplicaNão se aplicaPonta",Mercado_Receita!$N$2:$N$508)</f>
        <v>27.558</v>
      </c>
      <c r="O2" s="13">
        <f>SUMIF(Mercado_Receita!$T$2:$T$508,"44621A4Energia horáriaNão se aplicaNão se aplicaNão se aplicaNão se aplicaPonta",Mercado_Receita!$N$2:$N$508)</f>
        <v>33.368000000000002</v>
      </c>
      <c r="P2" s="13">
        <f>SUMIF(Mercado_Receita!$T$2:$T$508,"44652A4Energia horáriaNão se aplicaNão se aplicaNão se aplicaNão se aplicaPonta",Mercado_Receita!$N$2:$N$508)</f>
        <v>31.056000000000001</v>
      </c>
      <c r="Q2" s="13">
        <f>SUMIF(Mercado_Receita!$T$2:$T$508,"44682A4Energia horáriaNão se aplicaNão se aplicaNão se aplicaNão se aplicaPonta",Mercado_Receita!$N$2:$N$508)</f>
        <v>33.1</v>
      </c>
      <c r="R2" s="13">
        <f>SUMIF(Mercado_Receita!$T$2:$T$508,"44713A4Energia horáriaNão se aplicaNão se aplicaNão se aplicaNão se aplicaPonta",Mercado_Receita!$N$2:$N$508)</f>
        <v>29.561</v>
      </c>
      <c r="S2" s="13">
        <f>SUMIF(Mercado_Receita!$T$2:$T$508,"44743A4Energia horáriaNão se aplicaNão se aplicaNão se aplicaNão se aplicaPonta",Mercado_Receita!$N$2:$N$508)</f>
        <v>31.061</v>
      </c>
      <c r="T2" s="13">
        <f>SUMIF(Mercado_Receita!$T$2:$T$508,"44774A4Energia horáriaNão se aplicaNão se aplicaNão se aplicaNão se aplicaPonta",Mercado_Receita!$N$2:$N$508)</f>
        <v>47.075000000000003</v>
      </c>
      <c r="U2" s="13">
        <f t="shared" ref="U2:U38" si="0">SUM(I2:T2)</f>
        <v>397.35799999999995</v>
      </c>
      <c r="V2" s="13"/>
      <c r="W2" s="13"/>
    </row>
    <row r="3" spans="1:30" ht="11.25" customHeight="1" x14ac:dyDescent="0.25">
      <c r="A3" s="87"/>
      <c r="B3" s="87"/>
      <c r="C3" s="87"/>
      <c r="D3" s="87"/>
      <c r="E3" s="87"/>
      <c r="F3" s="87"/>
      <c r="G3" s="13" t="s">
        <v>75</v>
      </c>
      <c r="H3" s="13" t="s">
        <v>73</v>
      </c>
      <c r="I3" s="13">
        <f>SUMIF(Mercado_Receita!$T$2:$T$508,"44440A4Energia horáriaNão se aplicaNão se aplicaNão se aplicaNão se aplicaFora ponta",Mercado_Receita!$N$2:$N$508)</f>
        <v>2176.7490000000003</v>
      </c>
      <c r="J3" s="13">
        <f>SUMIF(Mercado_Receita!$T$2:$T$508,"44470A4Energia horáriaNão se aplicaNão se aplicaNão se aplicaNão se aplicaFora ponta",Mercado_Receita!$N$2:$N$508)</f>
        <v>1319.3129999999999</v>
      </c>
      <c r="K3" s="13">
        <f>SUMIF(Mercado_Receita!$T$2:$T$508,"44501A4Energia horáriaNão se aplicaNão se aplicaNão se aplicaNão se aplicaFora ponta",Mercado_Receita!$N$2:$N$508)</f>
        <v>1014.6419999999999</v>
      </c>
      <c r="L3" s="13">
        <f>SUMIF(Mercado_Receita!$T$2:$T$508,"44531A4Energia horáriaNão se aplicaNão se aplicaNão se aplicaNão se aplicaFora ponta",Mercado_Receita!$N$2:$N$508)</f>
        <v>798.76200000000006</v>
      </c>
      <c r="M3" s="13">
        <f>SUMIF(Mercado_Receita!$T$2:$T$508,"44562A4Energia horáriaNão se aplicaNão se aplicaNão se aplicaNão se aplicaFora ponta",Mercado_Receita!$N$2:$N$508)</f>
        <v>880.40699999999993</v>
      </c>
      <c r="N3" s="13">
        <f>SUMIF(Mercado_Receita!$T$2:$T$508,"44593A4Energia horáriaNão se aplicaNão se aplicaNão se aplicaNão se aplicaFora ponta",Mercado_Receita!$N$2:$N$508)</f>
        <v>955.63300000000004</v>
      </c>
      <c r="O3" s="13">
        <f>SUMIF(Mercado_Receita!$T$2:$T$508,"44621A4Energia horáriaNão se aplicaNão se aplicaNão se aplicaNão se aplicaFora ponta",Mercado_Receita!$N$2:$N$508)</f>
        <v>995.63599999999997</v>
      </c>
      <c r="P3" s="13">
        <f>SUMIF(Mercado_Receita!$T$2:$T$508,"44652A4Energia horáriaNão se aplicaNão se aplicaNão se aplicaNão se aplicaFora ponta",Mercado_Receita!$N$2:$N$508)</f>
        <v>1224.973</v>
      </c>
      <c r="Q3" s="13">
        <f>SUMIF(Mercado_Receita!$T$2:$T$508,"44682A4Energia horáriaNão se aplicaNão se aplicaNão se aplicaNão se aplicaFora ponta",Mercado_Receita!$N$2:$N$508)</f>
        <v>1738.7370000000001</v>
      </c>
      <c r="R3" s="13">
        <f>SUMIF(Mercado_Receita!$T$2:$T$508,"44713A4Energia horáriaNão se aplicaNão se aplicaNão se aplicaNão se aplicaFora ponta",Mercado_Receita!$N$2:$N$508)</f>
        <v>1061.587</v>
      </c>
      <c r="S3" s="13">
        <f>SUMIF(Mercado_Receita!$T$2:$T$508,"44743A4Energia horáriaNão se aplicaNão se aplicaNão se aplicaNão se aplicaFora ponta",Mercado_Receita!$N$2:$N$508)</f>
        <v>1418.134</v>
      </c>
      <c r="T3" s="13">
        <f>SUMIF(Mercado_Receita!$T$2:$T$508,"44774A4Energia horáriaNão se aplicaNão se aplicaNão se aplicaNão se aplicaFora ponta",Mercado_Receita!$N$2:$N$508)</f>
        <v>1996.3499999999997</v>
      </c>
      <c r="U3" s="13">
        <f t="shared" si="0"/>
        <v>15580.922999999999</v>
      </c>
      <c r="V3" s="13"/>
      <c r="W3" s="13"/>
    </row>
    <row r="4" spans="1:30" ht="11.25" customHeight="1" x14ac:dyDescent="0.25">
      <c r="A4" s="86" t="s">
        <v>22</v>
      </c>
      <c r="B4" s="86" t="s">
        <v>72</v>
      </c>
      <c r="C4" s="86" t="s">
        <v>24</v>
      </c>
      <c r="D4" s="86" t="s">
        <v>24</v>
      </c>
      <c r="E4" s="86" t="s">
        <v>25</v>
      </c>
      <c r="F4" s="86" t="s">
        <v>25</v>
      </c>
      <c r="G4" s="13" t="s">
        <v>74</v>
      </c>
      <c r="H4" s="13" t="s">
        <v>73</v>
      </c>
      <c r="I4" s="13">
        <f>SUMIF(Mercado_Receita!$T$2:$T$508,"44440B1Energia horáriaResidencialResidencialNão se aplicaNão se aplicaPonta",Mercado_Receita!$N$2:$N$508)</f>
        <v>0</v>
      </c>
      <c r="J4" s="13">
        <f>SUMIF(Mercado_Receita!$T$2:$T$508,"44470B1Energia horáriaResidencialResidencialNão se aplicaNão se aplicaPonta",Mercado_Receita!$N$2:$N$508)</f>
        <v>0</v>
      </c>
      <c r="K4" s="13">
        <f>SUMIF(Mercado_Receita!$T$2:$T$508,"44501B1Energia horáriaResidencialResidencialNão se aplicaNão se aplicaPonta",Mercado_Receita!$N$2:$N$508)</f>
        <v>0</v>
      </c>
      <c r="L4" s="13">
        <f>SUMIF(Mercado_Receita!$T$2:$T$508,"44531B1Energia horáriaResidencialResidencialNão se aplicaNão se aplicaPonta",Mercado_Receita!$N$2:$N$508)</f>
        <v>0</v>
      </c>
      <c r="M4" s="13">
        <f>SUMIF(Mercado_Receita!$T$2:$T$508,"44562B1Energia horáriaResidencialResidencialNão se aplicaNão se aplicaPonta",Mercado_Receita!$N$2:$N$508)</f>
        <v>0</v>
      </c>
      <c r="N4" s="13">
        <f>SUMIF(Mercado_Receita!$T$2:$T$508,"44593B1Energia horáriaResidencialResidencialNão se aplicaNão se aplicaPonta",Mercado_Receita!$N$2:$N$508)</f>
        <v>0</v>
      </c>
      <c r="O4" s="13">
        <f>SUMIF(Mercado_Receita!$T$2:$T$508,"44621B1Energia horáriaResidencialResidencialNão se aplicaNão se aplicaPonta",Mercado_Receita!$N$2:$N$508)</f>
        <v>0</v>
      </c>
      <c r="P4" s="13">
        <f>SUMIF(Mercado_Receita!$T$2:$T$508,"44652B1Energia horáriaResidencialResidencialNão se aplicaNão se aplicaPonta",Mercado_Receita!$N$2:$N$508)</f>
        <v>0</v>
      </c>
      <c r="Q4" s="13">
        <f>SUMIF(Mercado_Receita!$T$2:$T$508,"44682B1Energia horáriaResidencialResidencialNão se aplicaNão se aplicaPonta",Mercado_Receita!$N$2:$N$508)</f>
        <v>0</v>
      </c>
      <c r="R4" s="13">
        <f>SUMIF(Mercado_Receita!$T$2:$T$508,"44713B1Energia horáriaResidencialResidencialNão se aplicaNão se aplicaPonta",Mercado_Receita!$N$2:$N$508)</f>
        <v>0</v>
      </c>
      <c r="S4" s="13">
        <f>SUMIF(Mercado_Receita!$T$2:$T$508,"44743B1Energia horáriaResidencialResidencialNão se aplicaNão se aplicaPonta",Mercado_Receita!$N$2:$N$508)</f>
        <v>0</v>
      </c>
      <c r="T4" s="13">
        <f>SUMIF(Mercado_Receita!$T$2:$T$508,"44774B1Energia horáriaResidencialResidencialNão se aplicaNão se aplicaPonta",Mercado_Receita!$N$2:$N$508)</f>
        <v>0</v>
      </c>
      <c r="U4" s="13">
        <f t="shared" si="0"/>
        <v>0</v>
      </c>
      <c r="V4" s="13"/>
      <c r="W4" s="13"/>
    </row>
    <row r="5" spans="1:30" ht="11.25" customHeight="1" x14ac:dyDescent="0.25">
      <c r="A5" s="87"/>
      <c r="B5" s="87"/>
      <c r="C5" s="87"/>
      <c r="D5" s="87"/>
      <c r="E5" s="87"/>
      <c r="F5" s="87"/>
      <c r="G5" s="13" t="s">
        <v>85</v>
      </c>
      <c r="H5" s="13" t="s">
        <v>73</v>
      </c>
      <c r="I5" s="13">
        <f>SUMIF(Mercado_Receita!$T$2:$T$508,"44440B1Energia horáriaResidencialResidencialNão se aplicaNão se aplicaIntermediário",Mercado_Receita!$N$2:$N$508)</f>
        <v>0</v>
      </c>
      <c r="J5" s="13">
        <f>SUMIF(Mercado_Receita!$T$2:$T$508,"44470B1Energia horáriaResidencialResidencialNão se aplicaNão se aplicaIntermediário",Mercado_Receita!$N$2:$N$508)</f>
        <v>0</v>
      </c>
      <c r="K5" s="13">
        <f>SUMIF(Mercado_Receita!$T$2:$T$508,"44501B1Energia horáriaResidencialResidencialNão se aplicaNão se aplicaIntermediário",Mercado_Receita!$N$2:$N$508)</f>
        <v>0</v>
      </c>
      <c r="L5" s="13">
        <f>SUMIF(Mercado_Receita!$T$2:$T$508,"44531B1Energia horáriaResidencialResidencialNão se aplicaNão se aplicaIntermediário",Mercado_Receita!$N$2:$N$508)</f>
        <v>0</v>
      </c>
      <c r="M5" s="13">
        <f>SUMIF(Mercado_Receita!$T$2:$T$508,"44562B1Energia horáriaResidencialResidencialNão se aplicaNão se aplicaIntermediário",Mercado_Receita!$N$2:$N$508)</f>
        <v>0</v>
      </c>
      <c r="N5" s="13">
        <f>SUMIF(Mercado_Receita!$T$2:$T$508,"44593B1Energia horáriaResidencialResidencialNão se aplicaNão se aplicaIntermediário",Mercado_Receita!$N$2:$N$508)</f>
        <v>0</v>
      </c>
      <c r="O5" s="13">
        <f>SUMIF(Mercado_Receita!$T$2:$T$508,"44621B1Energia horáriaResidencialResidencialNão se aplicaNão se aplicaIntermediário",Mercado_Receita!$N$2:$N$508)</f>
        <v>0</v>
      </c>
      <c r="P5" s="13">
        <f>SUMIF(Mercado_Receita!$T$2:$T$508,"44652B1Energia horáriaResidencialResidencialNão se aplicaNão se aplicaIntermediário",Mercado_Receita!$N$2:$N$508)</f>
        <v>0</v>
      </c>
      <c r="Q5" s="13">
        <f>SUMIF(Mercado_Receita!$T$2:$T$508,"44682B1Energia horáriaResidencialResidencialNão se aplicaNão se aplicaIntermediário",Mercado_Receita!$N$2:$N$508)</f>
        <v>0</v>
      </c>
      <c r="R5" s="13">
        <f>SUMIF(Mercado_Receita!$T$2:$T$508,"44713B1Energia horáriaResidencialResidencialNão se aplicaNão se aplicaIntermediário",Mercado_Receita!$N$2:$N$508)</f>
        <v>0</v>
      </c>
      <c r="S5" s="13">
        <f>SUMIF(Mercado_Receita!$T$2:$T$508,"44743B1Energia horáriaResidencialResidencialNão se aplicaNão se aplicaIntermediário",Mercado_Receita!$N$2:$N$508)</f>
        <v>0</v>
      </c>
      <c r="T5" s="13">
        <f>SUMIF(Mercado_Receita!$T$2:$T$508,"44774B1Energia horáriaResidencialResidencialNão se aplicaNão se aplicaIntermediário",Mercado_Receita!$N$2:$N$508)</f>
        <v>0</v>
      </c>
      <c r="U5" s="13">
        <f t="shared" si="0"/>
        <v>0</v>
      </c>
      <c r="V5" s="13"/>
      <c r="W5" s="13"/>
    </row>
    <row r="6" spans="1:30" ht="11.25" customHeight="1" x14ac:dyDescent="0.25">
      <c r="A6" s="87"/>
      <c r="B6" s="87"/>
      <c r="C6" s="87"/>
      <c r="D6" s="87"/>
      <c r="E6" s="87"/>
      <c r="F6" s="87"/>
      <c r="G6" s="13" t="s">
        <v>75</v>
      </c>
      <c r="H6" s="13" t="s">
        <v>73</v>
      </c>
      <c r="I6" s="13">
        <f>SUMIF(Mercado_Receita!$T$2:$T$508,"44440B1Energia horáriaResidencialResidencialNão se aplicaNão se aplicaFora ponta",Mercado_Receita!$N$2:$N$508)</f>
        <v>0</v>
      </c>
      <c r="J6" s="13">
        <f>SUMIF(Mercado_Receita!$T$2:$T$508,"44470B1Energia horáriaResidencialResidencialNão se aplicaNão se aplicaFora ponta",Mercado_Receita!$N$2:$N$508)</f>
        <v>0</v>
      </c>
      <c r="K6" s="13">
        <f>SUMIF(Mercado_Receita!$T$2:$T$508,"44501B1Energia horáriaResidencialResidencialNão se aplicaNão se aplicaFora ponta",Mercado_Receita!$N$2:$N$508)</f>
        <v>0</v>
      </c>
      <c r="L6" s="13">
        <f>SUMIF(Mercado_Receita!$T$2:$T$508,"44531B1Energia horáriaResidencialResidencialNão se aplicaNão se aplicaFora ponta",Mercado_Receita!$N$2:$N$508)</f>
        <v>0</v>
      </c>
      <c r="M6" s="13">
        <f>SUMIF(Mercado_Receita!$T$2:$T$508,"44562B1Energia horáriaResidencialResidencialNão se aplicaNão se aplicaFora ponta",Mercado_Receita!$N$2:$N$508)</f>
        <v>0</v>
      </c>
      <c r="N6" s="13">
        <f>SUMIF(Mercado_Receita!$T$2:$T$508,"44593B1Energia horáriaResidencialResidencialNão se aplicaNão se aplicaFora ponta",Mercado_Receita!$N$2:$N$508)</f>
        <v>0</v>
      </c>
      <c r="O6" s="13">
        <f>SUMIF(Mercado_Receita!$T$2:$T$508,"44621B1Energia horáriaResidencialResidencialNão se aplicaNão se aplicaFora ponta",Mercado_Receita!$N$2:$N$508)</f>
        <v>0</v>
      </c>
      <c r="P6" s="13">
        <f>SUMIF(Mercado_Receita!$T$2:$T$508,"44652B1Energia horáriaResidencialResidencialNão se aplicaNão se aplicaFora ponta",Mercado_Receita!$N$2:$N$508)</f>
        <v>0</v>
      </c>
      <c r="Q6" s="13">
        <f>SUMIF(Mercado_Receita!$T$2:$T$508,"44682B1Energia horáriaResidencialResidencialNão se aplicaNão se aplicaFora ponta",Mercado_Receita!$N$2:$N$508)</f>
        <v>0</v>
      </c>
      <c r="R6" s="13">
        <f>SUMIF(Mercado_Receita!$T$2:$T$508,"44713B1Energia horáriaResidencialResidencialNão se aplicaNão se aplicaFora ponta",Mercado_Receita!$N$2:$N$508)</f>
        <v>0</v>
      </c>
      <c r="S6" s="13">
        <f>SUMIF(Mercado_Receita!$T$2:$T$508,"44743B1Energia horáriaResidencialResidencialNão se aplicaNão se aplicaFora ponta",Mercado_Receita!$N$2:$N$508)</f>
        <v>0</v>
      </c>
      <c r="T6" s="13">
        <f>SUMIF(Mercado_Receita!$T$2:$T$508,"44774B1Energia horáriaResidencialResidencialNão se aplicaNão se aplicaFora ponta",Mercado_Receita!$N$2:$N$508)</f>
        <v>0</v>
      </c>
      <c r="U6" s="13">
        <f t="shared" si="0"/>
        <v>0</v>
      </c>
      <c r="V6" s="13"/>
      <c r="W6" s="13"/>
    </row>
    <row r="7" spans="1:30" ht="11.25" customHeight="1" x14ac:dyDescent="0.25">
      <c r="A7" s="87"/>
      <c r="B7" s="86" t="s">
        <v>86</v>
      </c>
      <c r="C7" s="86" t="s">
        <v>24</v>
      </c>
      <c r="D7" s="12" t="s">
        <v>24</v>
      </c>
      <c r="E7" s="12" t="s">
        <v>25</v>
      </c>
      <c r="F7" s="12" t="s">
        <v>25</v>
      </c>
      <c r="G7" s="13" t="s">
        <v>79</v>
      </c>
      <c r="H7" s="13" t="s">
        <v>73</v>
      </c>
      <c r="I7" s="13">
        <f>SUMIF(Mercado_Receita!$T$2:$T$508,"44440B1Energia convencionalResidencialResidencialNão se aplicaNão se aplicaNão se aplica",Mercado_Receita!$N$2:$N$508)</f>
        <v>545.86300000000006</v>
      </c>
      <c r="J7" s="13">
        <f>SUMIF(Mercado_Receita!$T$2:$T$508,"44470B1Energia convencionalResidencialResidencialNão se aplicaNão se aplicaNão se aplica",Mercado_Receita!$N$2:$N$508)</f>
        <v>574.86200000000008</v>
      </c>
      <c r="K7" s="13">
        <f>SUMIF(Mercado_Receita!$T$2:$T$508,"44501B1Energia convencionalResidencialResidencialNão se aplicaNão se aplicaNão se aplica",Mercado_Receita!$N$2:$N$508)</f>
        <v>567.48300000000006</v>
      </c>
      <c r="L7" s="13">
        <f>SUMIF(Mercado_Receita!$T$2:$T$508,"44531B1Energia convencionalResidencialResidencialNão se aplicaNão se aplicaNão se aplica",Mercado_Receita!$N$2:$N$508)</f>
        <v>571.226</v>
      </c>
      <c r="M7" s="13">
        <f>SUMIF(Mercado_Receita!$T$2:$T$508,"44562B1Energia convencionalResidencialResidencialNão se aplicaNão se aplicaNão se aplica",Mercado_Receita!$N$2:$N$508)</f>
        <v>592.38</v>
      </c>
      <c r="N7" s="13">
        <f>SUMIF(Mercado_Receita!$T$2:$T$508,"44593B1Energia convencionalResidencialResidencialNão se aplicaNão se aplicaNão se aplica",Mercado_Receita!$N$2:$N$508)</f>
        <v>589.88</v>
      </c>
      <c r="O7" s="13">
        <f>SUMIF(Mercado_Receita!$T$2:$T$508,"44621B1Energia convencionalResidencialResidencialNão se aplicaNão se aplicaNão se aplica",Mercado_Receita!$N$2:$N$508)</f>
        <v>591.18799999999999</v>
      </c>
      <c r="P7" s="13">
        <f>SUMIF(Mercado_Receita!$T$2:$T$508,"44652B1Energia convencionalResidencialResidencialNão se aplicaNão se aplicaNão se aplica",Mercado_Receita!$N$2:$N$508)</f>
        <v>574.52700000000004</v>
      </c>
      <c r="Q7" s="13">
        <f>SUMIF(Mercado_Receita!$T$2:$T$508,"44682B1Energia convencionalResidencialResidencialNão se aplicaNão se aplicaNão se aplica",Mercado_Receita!$N$2:$N$508)</f>
        <v>552.75800000000004</v>
      </c>
      <c r="R7" s="13">
        <f>SUMIF(Mercado_Receita!$T$2:$T$508,"44713B1Energia convencionalResidencialResidencialNão se aplicaNão se aplicaNão se aplica",Mercado_Receita!$N$2:$N$508)</f>
        <v>525.24200000000008</v>
      </c>
      <c r="S7" s="13">
        <f>SUMIF(Mercado_Receita!$T$2:$T$508,"44743B1Energia convencionalResidencialResidencialNão se aplicaNão se aplicaNão se aplica",Mercado_Receita!$N$2:$N$508)</f>
        <v>565.36599999999999</v>
      </c>
      <c r="T7" s="13">
        <f>SUMIF(Mercado_Receita!$T$2:$T$508,"44774B1Energia convencionalResidencialResidencialNão se aplicaNão se aplicaNão se aplica",Mercado_Receita!$N$2:$N$508)</f>
        <v>588.57399999999996</v>
      </c>
      <c r="U7" s="13">
        <f t="shared" si="0"/>
        <v>6839.3490000000002</v>
      </c>
      <c r="V7" s="13"/>
      <c r="W7" s="13"/>
    </row>
    <row r="8" spans="1:30" ht="11.25" customHeight="1" x14ac:dyDescent="0.25">
      <c r="A8" s="87"/>
      <c r="B8" s="87"/>
      <c r="C8" s="87"/>
      <c r="D8" s="12" t="s">
        <v>29</v>
      </c>
      <c r="E8" s="12" t="s">
        <v>25</v>
      </c>
      <c r="F8" s="12" t="s">
        <v>25</v>
      </c>
      <c r="G8" s="13" t="s">
        <v>79</v>
      </c>
      <c r="H8" s="13" t="s">
        <v>73</v>
      </c>
      <c r="I8" s="13">
        <f>SUMIF(Mercado_Receita!$T$2:$T$508,"44440B1Energia convencionalResidencialResidencial baixa renda – faixa 01Não se aplicaNão se aplicaNão se aplica",Mercado_Receita!$N$2:$N$508)</f>
        <v>4.38</v>
      </c>
      <c r="J8" s="13">
        <f>SUMIF(Mercado_Receita!$T$2:$T$508,"44470B1Energia convencionalResidencialResidencial baixa renda – faixa 01Não se aplicaNão se aplicaNão se aplica",Mercado_Receita!$N$2:$N$508)</f>
        <v>4.47</v>
      </c>
      <c r="K8" s="13">
        <f>SUMIF(Mercado_Receita!$T$2:$T$508,"44501B1Energia convencionalResidencialResidencial baixa renda – faixa 01Não se aplicaNão se aplicaNão se aplica",Mercado_Receita!$N$2:$N$508)</f>
        <v>4.5599999999999996</v>
      </c>
      <c r="L8" s="13">
        <f>SUMIF(Mercado_Receita!$T$2:$T$508,"44531B1Energia convencionalResidencialResidencial baixa renda – faixa 01Não se aplicaNão se aplicaNão se aplica",Mercado_Receita!$N$2:$N$508)</f>
        <v>5.01</v>
      </c>
      <c r="M8" s="13">
        <f>SUMIF(Mercado_Receita!$T$2:$T$508,"44562B1Energia convencionalResidencialResidencial baixa renda – faixa 01Não se aplicaNão se aplicaNão se aplica",Mercado_Receita!$N$2:$N$508)</f>
        <v>4.8899999999999997</v>
      </c>
      <c r="N8" s="13">
        <f>SUMIF(Mercado_Receita!$T$2:$T$508,"44593B1Energia convencionalResidencialResidencial baixa renda – faixa 01Não se aplicaNão se aplicaNão se aplica",Mercado_Receita!$N$2:$N$508)</f>
        <v>5.58</v>
      </c>
      <c r="O8" s="13">
        <f>SUMIF(Mercado_Receita!$T$2:$T$508,"44621B1Energia convencionalResidencialResidencial baixa renda – faixa 01Não se aplicaNão se aplicaNão se aplica",Mercado_Receita!$N$2:$N$508)</f>
        <v>6.78</v>
      </c>
      <c r="P8" s="13">
        <f>SUMIF(Mercado_Receita!$T$2:$T$508,"44652B1Energia convencionalResidencialResidencial baixa renda – faixa 01Não se aplicaNão se aplicaNão se aplica",Mercado_Receita!$N$2:$N$508)</f>
        <v>6.99</v>
      </c>
      <c r="Q8" s="13">
        <f>SUMIF(Mercado_Receita!$T$2:$T$508,"44682B1Energia convencionalResidencialResidencial baixa renda – faixa 01Não se aplicaNão se aplicaNão se aplica",Mercado_Receita!$N$2:$N$508)</f>
        <v>7.17</v>
      </c>
      <c r="R8" s="13">
        <f>SUMIF(Mercado_Receita!$T$2:$T$508,"44713B1Energia convencionalResidencialResidencial baixa renda – faixa 01Não se aplicaNão se aplicaNão se aplica",Mercado_Receita!$N$2:$N$508)</f>
        <v>6.6</v>
      </c>
      <c r="S8" s="13">
        <f>SUMIF(Mercado_Receita!$T$2:$T$508,"44743B1Energia convencionalResidencialResidencial baixa renda – faixa 01Não se aplicaNão se aplicaNão se aplica",Mercado_Receita!$N$2:$N$508)</f>
        <v>6.66</v>
      </c>
      <c r="T8" s="13">
        <f>SUMIF(Mercado_Receita!$T$2:$T$508,"44774B1Energia convencionalResidencialResidencial baixa renda – faixa 01Não se aplicaNão se aplicaNão se aplica",Mercado_Receita!$N$2:$N$508)</f>
        <v>6.48</v>
      </c>
      <c r="U8" s="13">
        <f t="shared" si="0"/>
        <v>69.570000000000007</v>
      </c>
      <c r="V8" s="13"/>
      <c r="W8" s="13"/>
    </row>
    <row r="9" spans="1:30" ht="11.25" customHeight="1" x14ac:dyDescent="0.25">
      <c r="A9" s="87"/>
      <c r="B9" s="87"/>
      <c r="C9" s="87"/>
      <c r="D9" s="12" t="s">
        <v>30</v>
      </c>
      <c r="E9" s="12" t="s">
        <v>25</v>
      </c>
      <c r="F9" s="12" t="s">
        <v>25</v>
      </c>
      <c r="G9" s="13" t="s">
        <v>79</v>
      </c>
      <c r="H9" s="13" t="s">
        <v>73</v>
      </c>
      <c r="I9" s="13">
        <f>SUMIF(Mercado_Receita!$T$2:$T$508,"44440B1Energia convencionalResidencialResidencial baixa renda – faixa 02Não se aplicaNão se aplicaNão se aplica",Mercado_Receita!$N$2:$N$508)</f>
        <v>9.3810000000000002</v>
      </c>
      <c r="J9" s="13">
        <f>SUMIF(Mercado_Receita!$T$2:$T$508,"44470B1Energia convencionalResidencialResidencial baixa renda – faixa 02Não se aplicaNão se aplicaNão se aplica",Mercado_Receita!$N$2:$N$508)</f>
        <v>9.577</v>
      </c>
      <c r="K9" s="13">
        <f>SUMIF(Mercado_Receita!$T$2:$T$508,"44501B1Energia convencionalResidencialResidencial baixa renda – faixa 02Não se aplicaNão se aplicaNão se aplica",Mercado_Receita!$N$2:$N$508)</f>
        <v>9.8580000000000005</v>
      </c>
      <c r="L9" s="13">
        <f>SUMIF(Mercado_Receita!$T$2:$T$508,"44531B1Energia convencionalResidencialResidencial baixa renda – faixa 02Não se aplicaNão se aplicaNão se aplica",Mercado_Receita!$N$2:$N$508)</f>
        <v>11.009</v>
      </c>
      <c r="M9" s="13">
        <f>SUMIF(Mercado_Receita!$T$2:$T$508,"44562B1Energia convencionalResidencialResidencial baixa renda – faixa 02Não se aplicaNão se aplicaNão se aplica",Mercado_Receita!$N$2:$N$508)</f>
        <v>10.750999999999999</v>
      </c>
      <c r="N9" s="13">
        <f>SUMIF(Mercado_Receita!$T$2:$T$508,"44593B1Energia convencionalResidencialResidencial baixa renda – faixa 02Não se aplicaNão se aplicaNão se aplica",Mercado_Receita!$N$2:$N$508)</f>
        <v>12.329000000000001</v>
      </c>
      <c r="O9" s="13">
        <f>SUMIF(Mercado_Receita!$T$2:$T$508,"44621B1Energia convencionalResidencialResidencial baixa renda – faixa 02Não se aplicaNão se aplicaNão se aplica",Mercado_Receita!$N$2:$N$508)</f>
        <v>14.779</v>
      </c>
      <c r="P9" s="13">
        <f>SUMIF(Mercado_Receita!$T$2:$T$508,"44652B1Energia convencionalResidencialResidencial baixa renda – faixa 02Não se aplicaNão se aplicaNão se aplica",Mercado_Receita!$N$2:$N$508)</f>
        <v>15.113</v>
      </c>
      <c r="Q9" s="13">
        <f>SUMIF(Mercado_Receita!$T$2:$T$508,"44682B1Energia convencionalResidencialResidencial baixa renda – faixa 02Não se aplicaNão se aplicaNão se aplica",Mercado_Receita!$N$2:$N$508)</f>
        <v>15.212999999999999</v>
      </c>
      <c r="R9" s="13">
        <f>SUMIF(Mercado_Receita!$T$2:$T$508,"44713B1Energia convencionalResidencialResidencial baixa renda – faixa 02Não se aplicaNão se aplicaNão se aplica",Mercado_Receita!$N$2:$N$508)</f>
        <v>13.866</v>
      </c>
      <c r="S9" s="13">
        <f>SUMIF(Mercado_Receita!$T$2:$T$508,"44743B1Energia convencionalResidencialResidencial baixa renda – faixa 02Não se aplicaNão se aplicaNão se aplica",Mercado_Receita!$N$2:$N$508)</f>
        <v>13.898999999999999</v>
      </c>
      <c r="T9" s="13">
        <f>SUMIF(Mercado_Receita!$T$2:$T$508,"44774B1Energia convencionalResidencialResidencial baixa renda – faixa 02Não se aplicaNão se aplicaNão se aplica",Mercado_Receita!$N$2:$N$508)</f>
        <v>13.744999999999999</v>
      </c>
      <c r="U9" s="13">
        <f t="shared" si="0"/>
        <v>149.51999999999998</v>
      </c>
      <c r="V9" s="13"/>
      <c r="W9" s="13"/>
    </row>
    <row r="10" spans="1:30" ht="11.25" customHeight="1" x14ac:dyDescent="0.25">
      <c r="A10" s="87"/>
      <c r="B10" s="87"/>
      <c r="C10" s="87"/>
      <c r="D10" s="12" t="s">
        <v>31</v>
      </c>
      <c r="E10" s="12" t="s">
        <v>25</v>
      </c>
      <c r="F10" s="12" t="s">
        <v>25</v>
      </c>
      <c r="G10" s="13" t="s">
        <v>79</v>
      </c>
      <c r="H10" s="13" t="s">
        <v>73</v>
      </c>
      <c r="I10" s="13">
        <f>SUMIF(Mercado_Receita!$T$2:$T$508,"44440B1Energia convencionalResidencialResidencial baixa renda – faixa 03Não se aplicaNão se aplicaNão se aplica",Mercado_Receita!$N$2:$N$508)</f>
        <v>8.6289999999999996</v>
      </c>
      <c r="J10" s="13">
        <f>SUMIF(Mercado_Receita!$T$2:$T$508,"44470B1Energia convencionalResidencialResidencial baixa renda – faixa 03Não se aplicaNão se aplicaNão se aplica",Mercado_Receita!$N$2:$N$508)</f>
        <v>9.2449999999999992</v>
      </c>
      <c r="K10" s="13">
        <f>SUMIF(Mercado_Receita!$T$2:$T$508,"44501B1Energia convencionalResidencialResidencial baixa renda – faixa 03Não se aplicaNão se aplicaNão se aplica",Mercado_Receita!$N$2:$N$508)</f>
        <v>8.7720000000000002</v>
      </c>
      <c r="L10" s="13">
        <f>SUMIF(Mercado_Receita!$T$2:$T$508,"44531B1Energia convencionalResidencialResidencial baixa renda – faixa 03Não se aplicaNão se aplicaNão se aplica",Mercado_Receita!$N$2:$N$508)</f>
        <v>11.242000000000001</v>
      </c>
      <c r="M10" s="13">
        <f>SUMIF(Mercado_Receita!$T$2:$T$508,"44562B1Energia convencionalResidencialResidencial baixa renda – faixa 03Não se aplicaNão se aplicaNão se aplica",Mercado_Receita!$N$2:$N$508)</f>
        <v>10.476000000000001</v>
      </c>
      <c r="N10" s="13">
        <f>SUMIF(Mercado_Receita!$T$2:$T$508,"44593B1Energia convencionalResidencialResidencial baixa renda – faixa 03Não se aplicaNão se aplicaNão se aplica",Mercado_Receita!$N$2:$N$508)</f>
        <v>11.867000000000001</v>
      </c>
      <c r="O10" s="13">
        <f>SUMIF(Mercado_Receita!$T$2:$T$508,"44621B1Energia convencionalResidencialResidencial baixa renda – faixa 03Não se aplicaNão se aplicaNão se aplica",Mercado_Receita!$N$2:$N$508)</f>
        <v>14.621</v>
      </c>
      <c r="P10" s="13">
        <f>SUMIF(Mercado_Receita!$T$2:$T$508,"44652B1Energia convencionalResidencialResidencial baixa renda – faixa 03Não se aplicaNão se aplicaNão se aplica",Mercado_Receita!$N$2:$N$508)</f>
        <v>13.91</v>
      </c>
      <c r="Q10" s="13">
        <f>SUMIF(Mercado_Receita!$T$2:$T$508,"44682B1Energia convencionalResidencialResidencial baixa renda – faixa 03Não se aplicaNão se aplicaNão se aplica",Mercado_Receita!$N$2:$N$508)</f>
        <v>13.505000000000001</v>
      </c>
      <c r="R10" s="13">
        <f>SUMIF(Mercado_Receita!$T$2:$T$508,"44713B1Energia convencionalResidencialResidencial baixa renda – faixa 03Não se aplicaNão se aplicaNão se aplica",Mercado_Receita!$N$2:$N$508)</f>
        <v>10.781000000000001</v>
      </c>
      <c r="S10" s="13">
        <f>SUMIF(Mercado_Receita!$T$2:$T$508,"44743B1Energia convencionalResidencialResidencial baixa renda – faixa 03Não se aplicaNão se aplicaNão se aplica",Mercado_Receita!$N$2:$N$508)</f>
        <v>10.792</v>
      </c>
      <c r="T10" s="13">
        <f>SUMIF(Mercado_Receita!$T$2:$T$508,"44774B1Energia convencionalResidencialResidencial baixa renda – faixa 03Não se aplicaNão se aplicaNão se aplica",Mercado_Receita!$N$2:$N$508)</f>
        <v>10.227</v>
      </c>
      <c r="U10" s="13">
        <f t="shared" si="0"/>
        <v>134.06700000000001</v>
      </c>
      <c r="V10" s="13"/>
      <c r="W10" s="13"/>
    </row>
    <row r="11" spans="1:30" ht="11.25" customHeight="1" x14ac:dyDescent="0.25">
      <c r="A11" s="87"/>
      <c r="B11" s="87"/>
      <c r="C11" s="87"/>
      <c r="D11" s="12" t="s">
        <v>32</v>
      </c>
      <c r="E11" s="12" t="s">
        <v>25</v>
      </c>
      <c r="F11" s="12" t="s">
        <v>25</v>
      </c>
      <c r="G11" s="13" t="s">
        <v>79</v>
      </c>
      <c r="H11" s="13" t="s">
        <v>73</v>
      </c>
      <c r="I11" s="13">
        <f>SUMIF(Mercado_Receita!$T$2:$T$508,"44440B1Energia convencionalResidencialResidencial baixa renda – faixa 04Não se aplicaNão se aplicaNão se aplica",Mercado_Receita!$N$2:$N$508)</f>
        <v>2.3250000000000002</v>
      </c>
      <c r="J11" s="13">
        <f>SUMIF(Mercado_Receita!$T$2:$T$508,"44470B1Energia convencionalResidencialResidencial baixa renda – faixa 04Não se aplicaNão se aplicaNão se aplica",Mercado_Receita!$N$2:$N$508)</f>
        <v>3.0830000000000002</v>
      </c>
      <c r="K11" s="13">
        <f>SUMIF(Mercado_Receita!$T$2:$T$508,"44501B1Energia convencionalResidencialResidencial baixa renda – faixa 04Não se aplicaNão se aplicaNão se aplica",Mercado_Receita!$N$2:$N$508)</f>
        <v>2.3530000000000002</v>
      </c>
      <c r="L11" s="13">
        <f>SUMIF(Mercado_Receita!$T$2:$T$508,"44531B1Energia convencionalResidencialResidencial baixa renda – faixa 04Não se aplicaNão se aplicaNão se aplica",Mercado_Receita!$N$2:$N$508)</f>
        <v>3.536</v>
      </c>
      <c r="M11" s="13">
        <f>SUMIF(Mercado_Receita!$T$2:$T$508,"44562B1Energia convencionalResidencialResidencial baixa renda – faixa 04Não se aplicaNão se aplicaNão se aplica",Mercado_Receita!$N$2:$N$508)</f>
        <v>3.3959999999999999</v>
      </c>
      <c r="N11" s="13">
        <f>SUMIF(Mercado_Receita!$T$2:$T$508,"44593B1Energia convencionalResidencialResidencial baixa renda – faixa 04Não se aplicaNão se aplicaNão se aplica",Mercado_Receita!$N$2:$N$508)</f>
        <v>3.423</v>
      </c>
      <c r="O11" s="13">
        <f>SUMIF(Mercado_Receita!$T$2:$T$508,"44621B1Energia convencionalResidencialResidencial baixa renda – faixa 04Não se aplicaNão se aplicaNão se aplica",Mercado_Receita!$N$2:$N$508)</f>
        <v>4.8380000000000001</v>
      </c>
      <c r="P11" s="13">
        <f>SUMIF(Mercado_Receita!$T$2:$T$508,"44652B1Energia convencionalResidencialResidencial baixa renda – faixa 04Não se aplicaNão se aplicaNão se aplica",Mercado_Receita!$N$2:$N$508)</f>
        <v>4.3819999999999997</v>
      </c>
      <c r="Q11" s="13">
        <f>SUMIF(Mercado_Receita!$T$2:$T$508,"44682B1Energia convencionalResidencialResidencial baixa renda – faixa 04Não se aplicaNão se aplicaNão se aplica",Mercado_Receita!$N$2:$N$508)</f>
        <v>2.6850000000000001</v>
      </c>
      <c r="R11" s="13">
        <f>SUMIF(Mercado_Receita!$T$2:$T$508,"44713B1Energia convencionalResidencialResidencial baixa renda – faixa 04Não se aplicaNão se aplicaNão se aplica",Mercado_Receita!$N$2:$N$508)</f>
        <v>1.996</v>
      </c>
      <c r="S11" s="13">
        <f>SUMIF(Mercado_Receita!$T$2:$T$508,"44743B1Energia convencionalResidencialResidencial baixa renda – faixa 04Não se aplicaNão se aplicaNão se aplica",Mercado_Receita!$N$2:$N$508)</f>
        <v>2.0640000000000001</v>
      </c>
      <c r="T11" s="13">
        <f>SUMIF(Mercado_Receita!$T$2:$T$508,"44774B1Energia convencionalResidencialResidencial baixa renda – faixa 04Não se aplicaNão se aplicaNão se aplica",Mercado_Receita!$N$2:$N$508)</f>
        <v>2.57</v>
      </c>
      <c r="U11" s="13">
        <f t="shared" si="0"/>
        <v>36.650999999999996</v>
      </c>
      <c r="V11" s="13"/>
      <c r="W11" s="13"/>
    </row>
    <row r="12" spans="1:30" ht="11.25" customHeight="1" x14ac:dyDescent="0.25">
      <c r="A12" s="87"/>
      <c r="B12" s="86" t="s">
        <v>88</v>
      </c>
      <c r="C12" s="86" t="s">
        <v>24</v>
      </c>
      <c r="D12" s="12" t="s">
        <v>24</v>
      </c>
      <c r="E12" s="12" t="s">
        <v>25</v>
      </c>
      <c r="F12" s="12" t="s">
        <v>25</v>
      </c>
      <c r="G12" s="13" t="s">
        <v>79</v>
      </c>
      <c r="H12" s="13" t="s">
        <v>73</v>
      </c>
      <c r="I12" s="13">
        <f>SUMIF(Mercado_Receita!$T$2:$T$508,"44440B1Energia convencional pré-pagamentoResidencialResidencialNão se aplicaNão se aplicaNão se aplica",Mercado_Receita!$N$2:$N$508)</f>
        <v>0</v>
      </c>
      <c r="J12" s="13">
        <f>SUMIF(Mercado_Receita!$T$2:$T$508,"44470B1Energia convencional pré-pagamentoResidencialResidencialNão se aplicaNão se aplicaNão se aplica",Mercado_Receita!$N$2:$N$508)</f>
        <v>0</v>
      </c>
      <c r="K12" s="13">
        <f>SUMIF(Mercado_Receita!$T$2:$T$508,"44501B1Energia convencional pré-pagamentoResidencialResidencialNão se aplicaNão se aplicaNão se aplica",Mercado_Receita!$N$2:$N$508)</f>
        <v>0</v>
      </c>
      <c r="L12" s="13">
        <f>SUMIF(Mercado_Receita!$T$2:$T$508,"44531B1Energia convencional pré-pagamentoResidencialResidencialNão se aplicaNão se aplicaNão se aplica",Mercado_Receita!$N$2:$N$508)</f>
        <v>0</v>
      </c>
      <c r="M12" s="13">
        <f>SUMIF(Mercado_Receita!$T$2:$T$508,"44562B1Energia convencional pré-pagamentoResidencialResidencialNão se aplicaNão se aplicaNão se aplica",Mercado_Receita!$N$2:$N$508)</f>
        <v>0</v>
      </c>
      <c r="N12" s="13">
        <f>SUMIF(Mercado_Receita!$T$2:$T$508,"44593B1Energia convencional pré-pagamentoResidencialResidencialNão se aplicaNão se aplicaNão se aplica",Mercado_Receita!$N$2:$N$508)</f>
        <v>0</v>
      </c>
      <c r="O12" s="13">
        <f>SUMIF(Mercado_Receita!$T$2:$T$508,"44621B1Energia convencional pré-pagamentoResidencialResidencialNão se aplicaNão se aplicaNão se aplica",Mercado_Receita!$N$2:$N$508)</f>
        <v>0</v>
      </c>
      <c r="P12" s="13">
        <f>SUMIF(Mercado_Receita!$T$2:$T$508,"44652B1Energia convencional pré-pagamentoResidencialResidencialNão se aplicaNão se aplicaNão se aplica",Mercado_Receita!$N$2:$N$508)</f>
        <v>0</v>
      </c>
      <c r="Q12" s="13">
        <f>SUMIF(Mercado_Receita!$T$2:$T$508,"44682B1Energia convencional pré-pagamentoResidencialResidencialNão se aplicaNão se aplicaNão se aplica",Mercado_Receita!$N$2:$N$508)</f>
        <v>0</v>
      </c>
      <c r="R12" s="13">
        <f>SUMIF(Mercado_Receita!$T$2:$T$508,"44713B1Energia convencional pré-pagamentoResidencialResidencialNão se aplicaNão se aplicaNão se aplica",Mercado_Receita!$N$2:$N$508)</f>
        <v>0</v>
      </c>
      <c r="S12" s="13">
        <f>SUMIF(Mercado_Receita!$T$2:$T$508,"44743B1Energia convencional pré-pagamentoResidencialResidencialNão se aplicaNão se aplicaNão se aplica",Mercado_Receita!$N$2:$N$508)</f>
        <v>0</v>
      </c>
      <c r="T12" s="13">
        <f>SUMIF(Mercado_Receita!$T$2:$T$508,"44774B1Energia convencional pré-pagamentoResidencialResidencialNão se aplicaNão se aplicaNão se aplica",Mercado_Receita!$N$2:$N$508)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7"/>
      <c r="B13" s="87"/>
      <c r="C13" s="87"/>
      <c r="D13" s="12" t="s">
        <v>29</v>
      </c>
      <c r="E13" s="12" t="s">
        <v>25</v>
      </c>
      <c r="F13" s="12" t="s">
        <v>25</v>
      </c>
      <c r="G13" s="13" t="s">
        <v>79</v>
      </c>
      <c r="H13" s="13" t="s">
        <v>73</v>
      </c>
      <c r="I13" s="13">
        <f>SUMIF(Mercado_Receita!$T$2:$T$508,"44440B1Energia convencional pré-pagamentoResidencialResidencial baixa renda – faixa 01Não se aplicaNão se aplicaNão se aplica",Mercado_Receita!$N$2:$N$508)</f>
        <v>0</v>
      </c>
      <c r="J13" s="13">
        <f>SUMIF(Mercado_Receita!$T$2:$T$508,"44470B1Energia convencional pré-pagamentoResidencialResidencial baixa renda – faixa 01Não se aplicaNão se aplicaNão se aplica",Mercado_Receita!$N$2:$N$508)</f>
        <v>0</v>
      </c>
      <c r="K13" s="13">
        <f>SUMIF(Mercado_Receita!$T$2:$T$508,"44501B1Energia convencional pré-pagamentoResidencialResidencial baixa renda – faixa 01Não se aplicaNão se aplicaNão se aplica",Mercado_Receita!$N$2:$N$508)</f>
        <v>0</v>
      </c>
      <c r="L13" s="13">
        <f>SUMIF(Mercado_Receita!$T$2:$T$508,"44531B1Energia convencional pré-pagamentoResidencialResidencial baixa renda – faixa 01Não se aplicaNão se aplicaNão se aplica",Mercado_Receita!$N$2:$N$508)</f>
        <v>0</v>
      </c>
      <c r="M13" s="13">
        <f>SUMIF(Mercado_Receita!$T$2:$T$508,"44562B1Energia convencional pré-pagamentoResidencialResidencial baixa renda – faixa 01Não se aplicaNão se aplicaNão se aplica",Mercado_Receita!$N$2:$N$508)</f>
        <v>0</v>
      </c>
      <c r="N13" s="13">
        <f>SUMIF(Mercado_Receita!$T$2:$T$508,"44593B1Energia convencional pré-pagamentoResidencialResidencial baixa renda – faixa 01Não se aplicaNão se aplicaNão se aplica",Mercado_Receita!$N$2:$N$508)</f>
        <v>0</v>
      </c>
      <c r="O13" s="13">
        <f>SUMIF(Mercado_Receita!$T$2:$T$508,"44621B1Energia convencional pré-pagamentoResidencialResidencial baixa renda – faixa 01Não se aplicaNão se aplicaNão se aplica",Mercado_Receita!$N$2:$N$508)</f>
        <v>0</v>
      </c>
      <c r="P13" s="13">
        <f>SUMIF(Mercado_Receita!$T$2:$T$508,"44652B1Energia convencional pré-pagamentoResidencialResidencial baixa renda – faixa 01Não se aplicaNão se aplicaNão se aplica",Mercado_Receita!$N$2:$N$508)</f>
        <v>0</v>
      </c>
      <c r="Q13" s="13">
        <f>SUMIF(Mercado_Receita!$T$2:$T$508,"44682B1Energia convencional pré-pagamentoResidencialResidencial baixa renda – faixa 01Não se aplicaNão se aplicaNão se aplica",Mercado_Receita!$N$2:$N$508)</f>
        <v>0</v>
      </c>
      <c r="R13" s="13">
        <f>SUMIF(Mercado_Receita!$T$2:$T$508,"44713B1Energia convencional pré-pagamentoResidencialResidencial baixa renda – faixa 01Não se aplicaNão se aplicaNão se aplica",Mercado_Receita!$N$2:$N$508)</f>
        <v>0</v>
      </c>
      <c r="S13" s="13">
        <f>SUMIF(Mercado_Receita!$T$2:$T$508,"44743B1Energia convencional pré-pagamentoResidencialResidencial baixa renda – faixa 01Não se aplicaNão se aplicaNão se aplica",Mercado_Receita!$N$2:$N$508)</f>
        <v>0</v>
      </c>
      <c r="T13" s="13">
        <f>SUMIF(Mercado_Receita!$T$2:$T$508,"44774B1Energia convencional pré-pagamentoResidencialResidencial baixa renda – faixa 01Não se aplicaNão se aplicaNão se aplica",Mercado_Receita!$N$2:$N$508)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87"/>
      <c r="B14" s="87"/>
      <c r="C14" s="87"/>
      <c r="D14" s="12" t="s">
        <v>30</v>
      </c>
      <c r="E14" s="12" t="s">
        <v>25</v>
      </c>
      <c r="F14" s="12" t="s">
        <v>25</v>
      </c>
      <c r="G14" s="13" t="s">
        <v>79</v>
      </c>
      <c r="H14" s="13" t="s">
        <v>73</v>
      </c>
      <c r="I14" s="13">
        <f>SUMIF(Mercado_Receita!$T$2:$T$508,"44440B1Energia convencional pré-pagamentoResidencialResidencial baixa renda – faixa 02Não se aplicaNão se aplicaNão se aplica",Mercado_Receita!$N$2:$N$508)</f>
        <v>0</v>
      </c>
      <c r="J14" s="13">
        <f>SUMIF(Mercado_Receita!$T$2:$T$508,"44470B1Energia convencional pré-pagamentoResidencialResidencial baixa renda – faixa 02Não se aplicaNão se aplicaNão se aplica",Mercado_Receita!$N$2:$N$508)</f>
        <v>0</v>
      </c>
      <c r="K14" s="13">
        <f>SUMIF(Mercado_Receita!$T$2:$T$508,"44501B1Energia convencional pré-pagamentoResidencialResidencial baixa renda – faixa 02Não se aplicaNão se aplicaNão se aplica",Mercado_Receita!$N$2:$N$508)</f>
        <v>0</v>
      </c>
      <c r="L14" s="13">
        <f>SUMIF(Mercado_Receita!$T$2:$T$508,"44531B1Energia convencional pré-pagamentoResidencialResidencial baixa renda – faixa 02Não se aplicaNão se aplicaNão se aplica",Mercado_Receita!$N$2:$N$508)</f>
        <v>0</v>
      </c>
      <c r="M14" s="13">
        <f>SUMIF(Mercado_Receita!$T$2:$T$508,"44562B1Energia convencional pré-pagamentoResidencialResidencial baixa renda – faixa 02Não se aplicaNão se aplicaNão se aplica",Mercado_Receita!$N$2:$N$508)</f>
        <v>0</v>
      </c>
      <c r="N14" s="13">
        <f>SUMIF(Mercado_Receita!$T$2:$T$508,"44593B1Energia convencional pré-pagamentoResidencialResidencial baixa renda – faixa 02Não se aplicaNão se aplicaNão se aplica",Mercado_Receita!$N$2:$N$508)</f>
        <v>0</v>
      </c>
      <c r="O14" s="13">
        <f>SUMIF(Mercado_Receita!$T$2:$T$508,"44621B1Energia convencional pré-pagamentoResidencialResidencial baixa renda – faixa 02Não se aplicaNão se aplicaNão se aplica",Mercado_Receita!$N$2:$N$508)</f>
        <v>0</v>
      </c>
      <c r="P14" s="13">
        <f>SUMIF(Mercado_Receita!$T$2:$T$508,"44652B1Energia convencional pré-pagamentoResidencialResidencial baixa renda – faixa 02Não se aplicaNão se aplicaNão se aplica",Mercado_Receita!$N$2:$N$508)</f>
        <v>0</v>
      </c>
      <c r="Q14" s="13">
        <f>SUMIF(Mercado_Receita!$T$2:$T$508,"44682B1Energia convencional pré-pagamentoResidencialResidencial baixa renda – faixa 02Não se aplicaNão se aplicaNão se aplica",Mercado_Receita!$N$2:$N$508)</f>
        <v>0</v>
      </c>
      <c r="R14" s="13">
        <f>SUMIF(Mercado_Receita!$T$2:$T$508,"44713B1Energia convencional pré-pagamentoResidencialResidencial baixa renda – faixa 02Não se aplicaNão se aplicaNão se aplica",Mercado_Receita!$N$2:$N$508)</f>
        <v>0</v>
      </c>
      <c r="S14" s="13">
        <f>SUMIF(Mercado_Receita!$T$2:$T$508,"44743B1Energia convencional pré-pagamentoResidencialResidencial baixa renda – faixa 02Não se aplicaNão se aplicaNão se aplica",Mercado_Receita!$N$2:$N$508)</f>
        <v>0</v>
      </c>
      <c r="T14" s="13">
        <f>SUMIF(Mercado_Receita!$T$2:$T$508,"44774B1Energia convencional pré-pagamentoResidencialResidencial baixa renda – faixa 02Não se aplicaNão se aplicaNão se aplica",Mercado_Receita!$N$2:$N$508)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7"/>
      <c r="B15" s="87"/>
      <c r="C15" s="87"/>
      <c r="D15" s="12" t="s">
        <v>31</v>
      </c>
      <c r="E15" s="12" t="s">
        <v>25</v>
      </c>
      <c r="F15" s="12" t="s">
        <v>25</v>
      </c>
      <c r="G15" s="13" t="s">
        <v>79</v>
      </c>
      <c r="H15" s="13" t="s">
        <v>73</v>
      </c>
      <c r="I15" s="13">
        <f>SUMIF(Mercado_Receita!$T$2:$T$508,"44440B1Energia convencional pré-pagamentoResidencialResidencial baixa renda – faixa 03Não se aplicaNão se aplicaNão se aplica",Mercado_Receita!$N$2:$N$508)</f>
        <v>0</v>
      </c>
      <c r="J15" s="13">
        <f>SUMIF(Mercado_Receita!$T$2:$T$508,"44470B1Energia convencional pré-pagamentoResidencialResidencial baixa renda – faixa 03Não se aplicaNão se aplicaNão se aplica",Mercado_Receita!$N$2:$N$508)</f>
        <v>0</v>
      </c>
      <c r="K15" s="13">
        <f>SUMIF(Mercado_Receita!$T$2:$T$508,"44501B1Energia convencional pré-pagamentoResidencialResidencial baixa renda – faixa 03Não se aplicaNão se aplicaNão se aplica",Mercado_Receita!$N$2:$N$508)</f>
        <v>0</v>
      </c>
      <c r="L15" s="13">
        <f>SUMIF(Mercado_Receita!$T$2:$T$508,"44531B1Energia convencional pré-pagamentoResidencialResidencial baixa renda – faixa 03Não se aplicaNão se aplicaNão se aplica",Mercado_Receita!$N$2:$N$508)</f>
        <v>0</v>
      </c>
      <c r="M15" s="13">
        <f>SUMIF(Mercado_Receita!$T$2:$T$508,"44562B1Energia convencional pré-pagamentoResidencialResidencial baixa renda – faixa 03Não se aplicaNão se aplicaNão se aplica",Mercado_Receita!$N$2:$N$508)</f>
        <v>0</v>
      </c>
      <c r="N15" s="13">
        <f>SUMIF(Mercado_Receita!$T$2:$T$508,"44593B1Energia convencional pré-pagamentoResidencialResidencial baixa renda – faixa 03Não se aplicaNão se aplicaNão se aplica",Mercado_Receita!$N$2:$N$508)</f>
        <v>0</v>
      </c>
      <c r="O15" s="13">
        <f>SUMIF(Mercado_Receita!$T$2:$T$508,"44621B1Energia convencional pré-pagamentoResidencialResidencial baixa renda – faixa 03Não se aplicaNão se aplicaNão se aplica",Mercado_Receita!$N$2:$N$508)</f>
        <v>0</v>
      </c>
      <c r="P15" s="13">
        <f>SUMIF(Mercado_Receita!$T$2:$T$508,"44652B1Energia convencional pré-pagamentoResidencialResidencial baixa renda – faixa 03Não se aplicaNão se aplicaNão se aplica",Mercado_Receita!$N$2:$N$508)</f>
        <v>0</v>
      </c>
      <c r="Q15" s="13">
        <f>SUMIF(Mercado_Receita!$T$2:$T$508,"44682B1Energia convencional pré-pagamentoResidencialResidencial baixa renda – faixa 03Não se aplicaNão se aplicaNão se aplica",Mercado_Receita!$N$2:$N$508)</f>
        <v>0</v>
      </c>
      <c r="R15" s="13">
        <f>SUMIF(Mercado_Receita!$T$2:$T$508,"44713B1Energia convencional pré-pagamentoResidencialResidencial baixa renda – faixa 03Não se aplicaNão se aplicaNão se aplica",Mercado_Receita!$N$2:$N$508)</f>
        <v>0</v>
      </c>
      <c r="S15" s="13">
        <f>SUMIF(Mercado_Receita!$T$2:$T$508,"44743B1Energia convencional pré-pagamentoResidencialResidencial baixa renda – faixa 03Não se aplicaNão se aplicaNão se aplica",Mercado_Receita!$N$2:$N$508)</f>
        <v>0</v>
      </c>
      <c r="T15" s="13">
        <f>SUMIF(Mercado_Receita!$T$2:$T$508,"44774B1Energia convencional pré-pagamentoResidencialResidencial baixa renda – faixa 03Não se aplicaNão se aplicaNão se aplica",Mercado_Receita!$N$2:$N$508)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7"/>
      <c r="B16" s="87"/>
      <c r="C16" s="87"/>
      <c r="D16" s="12" t="s">
        <v>32</v>
      </c>
      <c r="E16" s="12" t="s">
        <v>25</v>
      </c>
      <c r="F16" s="12" t="s">
        <v>25</v>
      </c>
      <c r="G16" s="13" t="s">
        <v>79</v>
      </c>
      <c r="H16" s="13" t="s">
        <v>73</v>
      </c>
      <c r="I16" s="13">
        <f>SUMIF(Mercado_Receita!$T$2:$T$508,"44440B1Energia convencional pré-pagamentoResidencialResidencial baixa renda – faixa 04Não se aplicaNão se aplicaNão se aplica",Mercado_Receita!$N$2:$N$508)</f>
        <v>0</v>
      </c>
      <c r="J16" s="13">
        <f>SUMIF(Mercado_Receita!$T$2:$T$508,"44470B1Energia convencional pré-pagamentoResidencialResidencial baixa renda – faixa 04Não se aplicaNão se aplicaNão se aplica",Mercado_Receita!$N$2:$N$508)</f>
        <v>0</v>
      </c>
      <c r="K16" s="13">
        <f>SUMIF(Mercado_Receita!$T$2:$T$508,"44501B1Energia convencional pré-pagamentoResidencialResidencial baixa renda – faixa 04Não se aplicaNão se aplicaNão se aplica",Mercado_Receita!$N$2:$N$508)</f>
        <v>0</v>
      </c>
      <c r="L16" s="13">
        <f>SUMIF(Mercado_Receita!$T$2:$T$508,"44531B1Energia convencional pré-pagamentoResidencialResidencial baixa renda – faixa 04Não se aplicaNão se aplicaNão se aplica",Mercado_Receita!$N$2:$N$508)</f>
        <v>0</v>
      </c>
      <c r="M16" s="13">
        <f>SUMIF(Mercado_Receita!$T$2:$T$508,"44562B1Energia convencional pré-pagamentoResidencialResidencial baixa renda – faixa 04Não se aplicaNão se aplicaNão se aplica",Mercado_Receita!$N$2:$N$508)</f>
        <v>0</v>
      </c>
      <c r="N16" s="13">
        <f>SUMIF(Mercado_Receita!$T$2:$T$508,"44593B1Energia convencional pré-pagamentoResidencialResidencial baixa renda – faixa 04Não se aplicaNão se aplicaNão se aplica",Mercado_Receita!$N$2:$N$508)</f>
        <v>0</v>
      </c>
      <c r="O16" s="13">
        <f>SUMIF(Mercado_Receita!$T$2:$T$508,"44621B1Energia convencional pré-pagamentoResidencialResidencial baixa renda – faixa 04Não se aplicaNão se aplicaNão se aplica",Mercado_Receita!$N$2:$N$508)</f>
        <v>0</v>
      </c>
      <c r="P16" s="13">
        <f>SUMIF(Mercado_Receita!$T$2:$T$508,"44652B1Energia convencional pré-pagamentoResidencialResidencial baixa renda – faixa 04Não se aplicaNão se aplicaNão se aplica",Mercado_Receita!$N$2:$N$508)</f>
        <v>0</v>
      </c>
      <c r="Q16" s="13">
        <f>SUMIF(Mercado_Receita!$T$2:$T$508,"44682B1Energia convencional pré-pagamentoResidencialResidencial baixa renda – faixa 04Não se aplicaNão se aplicaNão se aplica",Mercado_Receita!$N$2:$N$508)</f>
        <v>0</v>
      </c>
      <c r="R16" s="13">
        <f>SUMIF(Mercado_Receita!$T$2:$T$508,"44713B1Energia convencional pré-pagamentoResidencialResidencial baixa renda – faixa 04Não se aplicaNão se aplicaNão se aplica",Mercado_Receita!$N$2:$N$508)</f>
        <v>0</v>
      </c>
      <c r="S16" s="13">
        <f>SUMIF(Mercado_Receita!$T$2:$T$508,"44743B1Energia convencional pré-pagamentoResidencialResidencial baixa renda – faixa 04Não se aplicaNão se aplicaNão se aplica",Mercado_Receita!$N$2:$N$508)</f>
        <v>0</v>
      </c>
      <c r="T16" s="13">
        <f>SUMIF(Mercado_Receita!$T$2:$T$508,"44774B1Energia convencional pré-pagamentoResidencialResidencial baixa renda – faixa 04Não se aplicaNão se aplicaNão se aplica",Mercado_Receita!$N$2:$N$508)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6" t="s">
        <v>40</v>
      </c>
      <c r="B17" s="86" t="s">
        <v>72</v>
      </c>
      <c r="C17" s="86" t="s">
        <v>41</v>
      </c>
      <c r="D17" s="86" t="s">
        <v>25</v>
      </c>
      <c r="E17" s="86" t="s">
        <v>25</v>
      </c>
      <c r="F17" s="86" t="s">
        <v>25</v>
      </c>
      <c r="G17" s="13" t="s">
        <v>74</v>
      </c>
      <c r="H17" s="13" t="s">
        <v>73</v>
      </c>
      <c r="I17" s="13">
        <f>SUMIF(Mercado_Receita!$T$2:$T$508,"44440B2Energia horáriaRuralNão se aplicaNão se aplicaNão se aplicaPonta",Mercado_Receita!$N$2:$N$508)</f>
        <v>0</v>
      </c>
      <c r="J17" s="13">
        <f>SUMIF(Mercado_Receita!$T$2:$T$508,"44470B2Energia horáriaRuralNão se aplicaNão se aplicaNão se aplicaPonta",Mercado_Receita!$N$2:$N$508)</f>
        <v>0</v>
      </c>
      <c r="K17" s="13">
        <f>SUMIF(Mercado_Receita!$T$2:$T$508,"44501B2Energia horáriaRuralNão se aplicaNão se aplicaNão se aplicaPonta",Mercado_Receita!$N$2:$N$508)</f>
        <v>0</v>
      </c>
      <c r="L17" s="13">
        <f>SUMIF(Mercado_Receita!$T$2:$T$508,"44531B2Energia horáriaRuralNão se aplicaNão se aplicaNão se aplicaPonta",Mercado_Receita!$N$2:$N$508)</f>
        <v>0</v>
      </c>
      <c r="M17" s="13">
        <f>SUMIF(Mercado_Receita!$T$2:$T$508,"44562B2Energia horáriaRuralNão se aplicaNão se aplicaNão se aplicaPonta",Mercado_Receita!$N$2:$N$508)</f>
        <v>0</v>
      </c>
      <c r="N17" s="13">
        <f>SUMIF(Mercado_Receita!$T$2:$T$508,"44593B2Energia horáriaRuralNão se aplicaNão se aplicaNão se aplicaPonta",Mercado_Receita!$N$2:$N$508)</f>
        <v>0</v>
      </c>
      <c r="O17" s="13">
        <f>SUMIF(Mercado_Receita!$T$2:$T$508,"44621B2Energia horáriaRuralNão se aplicaNão se aplicaNão se aplicaPonta",Mercado_Receita!$N$2:$N$508)</f>
        <v>0</v>
      </c>
      <c r="P17" s="13">
        <f>SUMIF(Mercado_Receita!$T$2:$T$508,"44652B2Energia horáriaRuralNão se aplicaNão se aplicaNão se aplicaPonta",Mercado_Receita!$N$2:$N$508)</f>
        <v>0</v>
      </c>
      <c r="Q17" s="13">
        <f>SUMIF(Mercado_Receita!$T$2:$T$508,"44682B2Energia horáriaRuralNão se aplicaNão se aplicaNão se aplicaPonta",Mercado_Receita!$N$2:$N$508)</f>
        <v>0</v>
      </c>
      <c r="R17" s="13">
        <f>SUMIF(Mercado_Receita!$T$2:$T$508,"44713B2Energia horáriaRuralNão se aplicaNão se aplicaNão se aplicaPonta",Mercado_Receita!$N$2:$N$508)</f>
        <v>0</v>
      </c>
      <c r="S17" s="13">
        <f>SUMIF(Mercado_Receita!$T$2:$T$508,"44743B2Energia horáriaRuralNão se aplicaNão se aplicaNão se aplicaPonta",Mercado_Receita!$N$2:$N$508)</f>
        <v>0</v>
      </c>
      <c r="T17" s="13">
        <f>SUMIF(Mercado_Receita!$T$2:$T$508,"44774B2Energia horáriaRuralNão se aplicaNão se aplicaNão se aplicaPonta",Mercado_Receita!$N$2:$N$508)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87"/>
      <c r="B18" s="87"/>
      <c r="C18" s="87"/>
      <c r="D18" s="87"/>
      <c r="E18" s="87"/>
      <c r="F18" s="87"/>
      <c r="G18" s="13" t="s">
        <v>85</v>
      </c>
      <c r="H18" s="13" t="s">
        <v>73</v>
      </c>
      <c r="I18" s="13">
        <f>SUMIF(Mercado_Receita!$T$2:$T$508,"44440B2Energia horáriaRuralNão se aplicaNão se aplicaNão se aplicaIntermediário",Mercado_Receita!$N$2:$N$508)</f>
        <v>0</v>
      </c>
      <c r="J18" s="13">
        <f>SUMIF(Mercado_Receita!$T$2:$T$508,"44470B2Energia horáriaRuralNão se aplicaNão se aplicaNão se aplicaIntermediário",Mercado_Receita!$N$2:$N$508)</f>
        <v>0</v>
      </c>
      <c r="K18" s="13">
        <f>SUMIF(Mercado_Receita!$T$2:$T$508,"44501B2Energia horáriaRuralNão se aplicaNão se aplicaNão se aplicaIntermediário",Mercado_Receita!$N$2:$N$508)</f>
        <v>0</v>
      </c>
      <c r="L18" s="13">
        <f>SUMIF(Mercado_Receita!$T$2:$T$508,"44531B2Energia horáriaRuralNão se aplicaNão se aplicaNão se aplicaIntermediário",Mercado_Receita!$N$2:$N$508)</f>
        <v>0</v>
      </c>
      <c r="M18" s="13">
        <f>SUMIF(Mercado_Receita!$T$2:$T$508,"44562B2Energia horáriaRuralNão se aplicaNão se aplicaNão se aplicaIntermediário",Mercado_Receita!$N$2:$N$508)</f>
        <v>0</v>
      </c>
      <c r="N18" s="13">
        <f>SUMIF(Mercado_Receita!$T$2:$T$508,"44593B2Energia horáriaRuralNão se aplicaNão se aplicaNão se aplicaIntermediário",Mercado_Receita!$N$2:$N$508)</f>
        <v>0</v>
      </c>
      <c r="O18" s="13">
        <f>SUMIF(Mercado_Receita!$T$2:$T$508,"44621B2Energia horáriaRuralNão se aplicaNão se aplicaNão se aplicaIntermediário",Mercado_Receita!$N$2:$N$508)</f>
        <v>0</v>
      </c>
      <c r="P18" s="13">
        <f>SUMIF(Mercado_Receita!$T$2:$T$508,"44652B2Energia horáriaRuralNão se aplicaNão se aplicaNão se aplicaIntermediário",Mercado_Receita!$N$2:$N$508)</f>
        <v>0</v>
      </c>
      <c r="Q18" s="13">
        <f>SUMIF(Mercado_Receita!$T$2:$T$508,"44682B2Energia horáriaRuralNão se aplicaNão se aplicaNão se aplicaIntermediário",Mercado_Receita!$N$2:$N$508)</f>
        <v>0</v>
      </c>
      <c r="R18" s="13">
        <f>SUMIF(Mercado_Receita!$T$2:$T$508,"44713B2Energia horáriaRuralNão se aplicaNão se aplicaNão se aplicaIntermediário",Mercado_Receita!$N$2:$N$508)</f>
        <v>0</v>
      </c>
      <c r="S18" s="13">
        <f>SUMIF(Mercado_Receita!$T$2:$T$508,"44743B2Energia horáriaRuralNão se aplicaNão se aplicaNão se aplicaIntermediário",Mercado_Receita!$N$2:$N$508)</f>
        <v>0</v>
      </c>
      <c r="T18" s="13">
        <f>SUMIF(Mercado_Receita!$T$2:$T$508,"44774B2Energia horáriaRuralNão se aplicaNão se aplicaNão se aplicaIntermediário",Mercado_Receita!$N$2:$N$508)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87"/>
      <c r="B19" s="87"/>
      <c r="C19" s="87"/>
      <c r="D19" s="87"/>
      <c r="E19" s="87"/>
      <c r="F19" s="87"/>
      <c r="G19" s="13" t="s">
        <v>75</v>
      </c>
      <c r="H19" s="13" t="s">
        <v>73</v>
      </c>
      <c r="I19" s="13">
        <f>SUMIF(Mercado_Receita!$T$2:$T$508,"44440B2Energia horáriaRuralNão se aplicaNão se aplicaNão se aplicaFora ponta",Mercado_Receita!$N$2:$N$508)</f>
        <v>0</v>
      </c>
      <c r="J19" s="13">
        <f>SUMIF(Mercado_Receita!$T$2:$T$508,"44470B2Energia horáriaRuralNão se aplicaNão se aplicaNão se aplicaFora ponta",Mercado_Receita!$N$2:$N$508)</f>
        <v>0</v>
      </c>
      <c r="K19" s="13">
        <f>SUMIF(Mercado_Receita!$T$2:$T$508,"44501B2Energia horáriaRuralNão se aplicaNão se aplicaNão se aplicaFora ponta",Mercado_Receita!$N$2:$N$508)</f>
        <v>0</v>
      </c>
      <c r="L19" s="13">
        <f>SUMIF(Mercado_Receita!$T$2:$T$508,"44531B2Energia horáriaRuralNão se aplicaNão se aplicaNão se aplicaFora ponta",Mercado_Receita!$N$2:$N$508)</f>
        <v>0</v>
      </c>
      <c r="M19" s="13">
        <f>SUMIF(Mercado_Receita!$T$2:$T$508,"44562B2Energia horáriaRuralNão se aplicaNão se aplicaNão se aplicaFora ponta",Mercado_Receita!$N$2:$N$508)</f>
        <v>0</v>
      </c>
      <c r="N19" s="13">
        <f>SUMIF(Mercado_Receita!$T$2:$T$508,"44593B2Energia horáriaRuralNão se aplicaNão se aplicaNão se aplicaFora ponta",Mercado_Receita!$N$2:$N$508)</f>
        <v>0</v>
      </c>
      <c r="O19" s="13">
        <f>SUMIF(Mercado_Receita!$T$2:$T$508,"44621B2Energia horáriaRuralNão se aplicaNão se aplicaNão se aplicaFora ponta",Mercado_Receita!$N$2:$N$508)</f>
        <v>0</v>
      </c>
      <c r="P19" s="13">
        <f>SUMIF(Mercado_Receita!$T$2:$T$508,"44652B2Energia horáriaRuralNão se aplicaNão se aplicaNão se aplicaFora ponta",Mercado_Receita!$N$2:$N$508)</f>
        <v>0</v>
      </c>
      <c r="Q19" s="13">
        <f>SUMIF(Mercado_Receita!$T$2:$T$508,"44682B2Energia horáriaRuralNão se aplicaNão se aplicaNão se aplicaFora ponta",Mercado_Receita!$N$2:$N$508)</f>
        <v>0</v>
      </c>
      <c r="R19" s="13">
        <f>SUMIF(Mercado_Receita!$T$2:$T$508,"44713B2Energia horáriaRuralNão se aplicaNão se aplicaNão se aplicaFora ponta",Mercado_Receita!$N$2:$N$508)</f>
        <v>0</v>
      </c>
      <c r="S19" s="13">
        <f>SUMIF(Mercado_Receita!$T$2:$T$508,"44743B2Energia horáriaRuralNão se aplicaNão se aplicaNão se aplicaFora ponta",Mercado_Receita!$N$2:$N$508)</f>
        <v>0</v>
      </c>
      <c r="T19" s="13">
        <f>SUMIF(Mercado_Receita!$T$2:$T$508,"44774B2Energia horáriaRuralNão se aplicaNão se aplicaNão se aplicaFora ponta",Mercado_Receita!$N$2:$N$508)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87"/>
      <c r="B20" s="12" t="s">
        <v>86</v>
      </c>
      <c r="C20" s="12" t="s">
        <v>41</v>
      </c>
      <c r="D20" s="12" t="s">
        <v>25</v>
      </c>
      <c r="E20" s="12" t="s">
        <v>25</v>
      </c>
      <c r="F20" s="12" t="s">
        <v>25</v>
      </c>
      <c r="G20" s="13" t="s">
        <v>79</v>
      </c>
      <c r="H20" s="13" t="s">
        <v>73</v>
      </c>
      <c r="I20" s="13">
        <f>SUMIF(Mercado_Receita!$T$2:$T$508,"44440B2Energia convencionalRuralNão se aplicaNão se aplicaNão se aplicaNão se aplica",Mercado_Receita!$N$2:$N$508)</f>
        <v>602.65800000000002</v>
      </c>
      <c r="J20" s="13">
        <f>SUMIF(Mercado_Receita!$T$2:$T$508,"44470B2Energia convencionalRuralNão se aplicaNão se aplicaNão se aplicaNão se aplica",Mercado_Receita!$N$2:$N$508)</f>
        <v>662.21799999999996</v>
      </c>
      <c r="K20" s="13">
        <f>SUMIF(Mercado_Receita!$T$2:$T$508,"44501B2Energia convencionalRuralNão se aplicaNão se aplicaNão se aplicaNão se aplica",Mercado_Receita!$N$2:$N$508)</f>
        <v>360.75099999999998</v>
      </c>
      <c r="L20" s="13">
        <f>SUMIF(Mercado_Receita!$T$2:$T$508,"44531B2Energia convencionalRuralNão se aplicaNão se aplicaNão se aplicaNão se aplica",Mercado_Receita!$N$2:$N$508)</f>
        <v>338.05799999999994</v>
      </c>
      <c r="M20" s="13">
        <f>SUMIF(Mercado_Receita!$T$2:$T$508,"44562B2Energia convencionalRuralNão se aplicaNão se aplicaNão se aplicaNão se aplica",Mercado_Receita!$N$2:$N$508)</f>
        <v>297.20199999999994</v>
      </c>
      <c r="N20" s="13">
        <f>SUMIF(Mercado_Receita!$T$2:$T$508,"44593B2Energia convencionalRuralNão se aplicaNão se aplicaNão se aplicaNão se aplica",Mercado_Receita!$N$2:$N$508)</f>
        <v>300.19300000000004</v>
      </c>
      <c r="O20" s="13">
        <f>SUMIF(Mercado_Receita!$T$2:$T$508,"44621B2Energia convencionalRuralNão se aplicaNão se aplicaNão se aplicaNão se aplica",Mercado_Receita!$N$2:$N$508)</f>
        <v>316.70300000000003</v>
      </c>
      <c r="P20" s="13">
        <f>SUMIF(Mercado_Receita!$T$2:$T$508,"44652B2Energia convencionalRuralNão se aplicaNão se aplicaNão se aplicaNão se aplica",Mercado_Receita!$N$2:$N$508)</f>
        <v>322.41399999999999</v>
      </c>
      <c r="Q20" s="13">
        <f>SUMIF(Mercado_Receita!$T$2:$T$508,"44682B2Energia convencionalRuralNão se aplicaNão se aplicaNão se aplicaNão se aplica",Mercado_Receita!$N$2:$N$508)</f>
        <v>466.96600000000001</v>
      </c>
      <c r="R20" s="13">
        <f>SUMIF(Mercado_Receita!$T$2:$T$508,"44713B2Energia convencionalRuralNão se aplicaNão se aplicaNão se aplicaNão se aplica",Mercado_Receita!$N$2:$N$508)</f>
        <v>454.673</v>
      </c>
      <c r="S20" s="13">
        <f>SUMIF(Mercado_Receita!$T$2:$T$508,"44743B2Energia convencionalRuralNão se aplicaNão se aplicaNão se aplicaNão se aplica",Mercado_Receita!$N$2:$N$508)</f>
        <v>429.13799999999998</v>
      </c>
      <c r="T20" s="13">
        <f>SUMIF(Mercado_Receita!$T$2:$T$508,"44774B2Energia convencionalRuralNão se aplicaNão se aplicaNão se aplicaNão se aplica",Mercado_Receita!$N$2:$N$508)</f>
        <v>515.81999999999994</v>
      </c>
      <c r="U20" s="13">
        <f t="shared" si="0"/>
        <v>5066.7939999999999</v>
      </c>
      <c r="V20" s="13"/>
      <c r="W20" s="13"/>
    </row>
    <row r="21" spans="1:23" ht="11.25" customHeight="1" x14ac:dyDescent="0.25">
      <c r="A21" s="87"/>
      <c r="B21" s="86" t="s">
        <v>72</v>
      </c>
      <c r="C21" s="86" t="s">
        <v>41</v>
      </c>
      <c r="D21" s="86" t="s">
        <v>90</v>
      </c>
      <c r="E21" s="86" t="s">
        <v>25</v>
      </c>
      <c r="F21" s="86" t="s">
        <v>25</v>
      </c>
      <c r="G21" s="13" t="s">
        <v>74</v>
      </c>
      <c r="H21" s="13" t="s">
        <v>73</v>
      </c>
      <c r="I21" s="13">
        <f>SUMIF(Mercado_Receita!$T$2:$T$508,"44440B2Energia horáriaRuralCooperativa de eletrificação ruralNão se aplicaNão se aplicaPonta",Mercado_Receita!$N$2:$N$508)</f>
        <v>0</v>
      </c>
      <c r="J21" s="13">
        <f>SUMIF(Mercado_Receita!$T$2:$T$508,"44470B2Energia horáriaRuralCooperativa de eletrificação ruralNão se aplicaNão se aplicaPonta",Mercado_Receita!$N$2:$N$508)</f>
        <v>0</v>
      </c>
      <c r="K21" s="13">
        <f>SUMIF(Mercado_Receita!$T$2:$T$508,"44501B2Energia horáriaRuralCooperativa de eletrificação ruralNão se aplicaNão se aplicaPonta",Mercado_Receita!$N$2:$N$508)</f>
        <v>0</v>
      </c>
      <c r="L21" s="13">
        <f>SUMIF(Mercado_Receita!$T$2:$T$508,"44531B2Energia horáriaRuralCooperativa de eletrificação ruralNão se aplicaNão se aplicaPonta",Mercado_Receita!$N$2:$N$508)</f>
        <v>0</v>
      </c>
      <c r="M21" s="13">
        <f>SUMIF(Mercado_Receita!$T$2:$T$508,"44562B2Energia horáriaRuralCooperativa de eletrificação ruralNão se aplicaNão se aplicaPonta",Mercado_Receita!$N$2:$N$508)</f>
        <v>0</v>
      </c>
      <c r="N21" s="13">
        <f>SUMIF(Mercado_Receita!$T$2:$T$508,"44593B2Energia horáriaRuralCooperativa de eletrificação ruralNão se aplicaNão se aplicaPonta",Mercado_Receita!$N$2:$N$508)</f>
        <v>0</v>
      </c>
      <c r="O21" s="13">
        <f>SUMIF(Mercado_Receita!$T$2:$T$508,"44621B2Energia horáriaRuralCooperativa de eletrificação ruralNão se aplicaNão se aplicaPonta",Mercado_Receita!$N$2:$N$508)</f>
        <v>0</v>
      </c>
      <c r="P21" s="13">
        <f>SUMIF(Mercado_Receita!$T$2:$T$508,"44652B2Energia horáriaRuralCooperativa de eletrificação ruralNão se aplicaNão se aplicaPonta",Mercado_Receita!$N$2:$N$508)</f>
        <v>0</v>
      </c>
      <c r="Q21" s="13">
        <f>SUMIF(Mercado_Receita!$T$2:$T$508,"44682B2Energia horáriaRuralCooperativa de eletrificação ruralNão se aplicaNão se aplicaPonta",Mercado_Receita!$N$2:$N$508)</f>
        <v>0</v>
      </c>
      <c r="R21" s="13">
        <f>SUMIF(Mercado_Receita!$T$2:$T$508,"44713B2Energia horáriaRuralCooperativa de eletrificação ruralNão se aplicaNão se aplicaPonta",Mercado_Receita!$N$2:$N$508)</f>
        <v>0</v>
      </c>
      <c r="S21" s="13">
        <f>SUMIF(Mercado_Receita!$T$2:$T$508,"44743B2Energia horáriaRuralCooperativa de eletrificação ruralNão se aplicaNão se aplicaPonta",Mercado_Receita!$N$2:$N$508)</f>
        <v>0</v>
      </c>
      <c r="T21" s="13">
        <f>SUMIF(Mercado_Receita!$T$2:$T$508,"44774B2Energia horáriaRuralCooperativa de eletrificação ruralNão se aplicaNão se aplicaPonta",Mercado_Receita!$N$2:$N$508)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87"/>
      <c r="B22" s="87"/>
      <c r="C22" s="87"/>
      <c r="D22" s="87"/>
      <c r="E22" s="87"/>
      <c r="F22" s="87"/>
      <c r="G22" s="13" t="s">
        <v>85</v>
      </c>
      <c r="H22" s="13" t="s">
        <v>73</v>
      </c>
      <c r="I22" s="13">
        <f>SUMIF(Mercado_Receita!$T$2:$T$508,"44440B2Energia horáriaRuralCooperativa de eletrificação ruralNão se aplicaNão se aplicaIntermediário",Mercado_Receita!$N$2:$N$508)</f>
        <v>0</v>
      </c>
      <c r="J22" s="13">
        <f>SUMIF(Mercado_Receita!$T$2:$T$508,"44470B2Energia horáriaRuralCooperativa de eletrificação ruralNão se aplicaNão se aplicaIntermediário",Mercado_Receita!$N$2:$N$508)</f>
        <v>0</v>
      </c>
      <c r="K22" s="13">
        <f>SUMIF(Mercado_Receita!$T$2:$T$508,"44501B2Energia horáriaRuralCooperativa de eletrificação ruralNão se aplicaNão se aplicaIntermediário",Mercado_Receita!$N$2:$N$508)</f>
        <v>0</v>
      </c>
      <c r="L22" s="13">
        <f>SUMIF(Mercado_Receita!$T$2:$T$508,"44531B2Energia horáriaRuralCooperativa de eletrificação ruralNão se aplicaNão se aplicaIntermediário",Mercado_Receita!$N$2:$N$508)</f>
        <v>0</v>
      </c>
      <c r="M22" s="13">
        <f>SUMIF(Mercado_Receita!$T$2:$T$508,"44562B2Energia horáriaRuralCooperativa de eletrificação ruralNão se aplicaNão se aplicaIntermediário",Mercado_Receita!$N$2:$N$508)</f>
        <v>0</v>
      </c>
      <c r="N22" s="13">
        <f>SUMIF(Mercado_Receita!$T$2:$T$508,"44593B2Energia horáriaRuralCooperativa de eletrificação ruralNão se aplicaNão se aplicaIntermediário",Mercado_Receita!$N$2:$N$508)</f>
        <v>0</v>
      </c>
      <c r="O22" s="13">
        <f>SUMIF(Mercado_Receita!$T$2:$T$508,"44621B2Energia horáriaRuralCooperativa de eletrificação ruralNão se aplicaNão se aplicaIntermediário",Mercado_Receita!$N$2:$N$508)</f>
        <v>0</v>
      </c>
      <c r="P22" s="13">
        <f>SUMIF(Mercado_Receita!$T$2:$T$508,"44652B2Energia horáriaRuralCooperativa de eletrificação ruralNão se aplicaNão se aplicaIntermediário",Mercado_Receita!$N$2:$N$508)</f>
        <v>0</v>
      </c>
      <c r="Q22" s="13">
        <f>SUMIF(Mercado_Receita!$T$2:$T$508,"44682B2Energia horáriaRuralCooperativa de eletrificação ruralNão se aplicaNão se aplicaIntermediário",Mercado_Receita!$N$2:$N$508)</f>
        <v>0</v>
      </c>
      <c r="R22" s="13">
        <f>SUMIF(Mercado_Receita!$T$2:$T$508,"44713B2Energia horáriaRuralCooperativa de eletrificação ruralNão se aplicaNão se aplicaIntermediário",Mercado_Receita!$N$2:$N$508)</f>
        <v>0</v>
      </c>
      <c r="S22" s="13">
        <f>SUMIF(Mercado_Receita!$T$2:$T$508,"44743B2Energia horáriaRuralCooperativa de eletrificação ruralNão se aplicaNão se aplicaIntermediário",Mercado_Receita!$N$2:$N$508)</f>
        <v>0</v>
      </c>
      <c r="T22" s="13">
        <f>SUMIF(Mercado_Receita!$T$2:$T$508,"44774B2Energia horáriaRuralCooperativa de eletrificação ruralNão se aplicaNão se aplicaIntermediário",Mercado_Receita!$N$2:$N$508)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7"/>
      <c r="B23" s="87"/>
      <c r="C23" s="87"/>
      <c r="D23" s="87"/>
      <c r="E23" s="87"/>
      <c r="F23" s="87"/>
      <c r="G23" s="13" t="s">
        <v>75</v>
      </c>
      <c r="H23" s="13" t="s">
        <v>73</v>
      </c>
      <c r="I23" s="13">
        <f>SUMIF(Mercado_Receita!$T$2:$T$508,"44440B2Energia horáriaRuralCooperativa de eletrificação ruralNão se aplicaNão se aplicaFora ponta",Mercado_Receita!$N$2:$N$508)</f>
        <v>0</v>
      </c>
      <c r="J23" s="13">
        <f>SUMIF(Mercado_Receita!$T$2:$T$508,"44470B2Energia horáriaRuralCooperativa de eletrificação ruralNão se aplicaNão se aplicaFora ponta",Mercado_Receita!$N$2:$N$508)</f>
        <v>0</v>
      </c>
      <c r="K23" s="13">
        <f>SUMIF(Mercado_Receita!$T$2:$T$508,"44501B2Energia horáriaRuralCooperativa de eletrificação ruralNão se aplicaNão se aplicaFora ponta",Mercado_Receita!$N$2:$N$508)</f>
        <v>0</v>
      </c>
      <c r="L23" s="13">
        <f>SUMIF(Mercado_Receita!$T$2:$T$508,"44531B2Energia horáriaRuralCooperativa de eletrificação ruralNão se aplicaNão se aplicaFora ponta",Mercado_Receita!$N$2:$N$508)</f>
        <v>0</v>
      </c>
      <c r="M23" s="13">
        <f>SUMIF(Mercado_Receita!$T$2:$T$508,"44562B2Energia horáriaRuralCooperativa de eletrificação ruralNão se aplicaNão se aplicaFora ponta",Mercado_Receita!$N$2:$N$508)</f>
        <v>0</v>
      </c>
      <c r="N23" s="13">
        <f>SUMIF(Mercado_Receita!$T$2:$T$508,"44593B2Energia horáriaRuralCooperativa de eletrificação ruralNão se aplicaNão se aplicaFora ponta",Mercado_Receita!$N$2:$N$508)</f>
        <v>0</v>
      </c>
      <c r="O23" s="13">
        <f>SUMIF(Mercado_Receita!$T$2:$T$508,"44621B2Energia horáriaRuralCooperativa de eletrificação ruralNão se aplicaNão se aplicaFora ponta",Mercado_Receita!$N$2:$N$508)</f>
        <v>0</v>
      </c>
      <c r="P23" s="13">
        <f>SUMIF(Mercado_Receita!$T$2:$T$508,"44652B2Energia horáriaRuralCooperativa de eletrificação ruralNão se aplicaNão se aplicaFora ponta",Mercado_Receita!$N$2:$N$508)</f>
        <v>0</v>
      </c>
      <c r="Q23" s="13">
        <f>SUMIF(Mercado_Receita!$T$2:$T$508,"44682B2Energia horáriaRuralCooperativa de eletrificação ruralNão se aplicaNão se aplicaFora ponta",Mercado_Receita!$N$2:$N$508)</f>
        <v>0</v>
      </c>
      <c r="R23" s="13">
        <f>SUMIF(Mercado_Receita!$T$2:$T$508,"44713B2Energia horáriaRuralCooperativa de eletrificação ruralNão se aplicaNão se aplicaFora ponta",Mercado_Receita!$N$2:$N$508)</f>
        <v>0</v>
      </c>
      <c r="S23" s="13">
        <f>SUMIF(Mercado_Receita!$T$2:$T$508,"44743B2Energia horáriaRuralCooperativa de eletrificação ruralNão se aplicaNão se aplicaFora ponta",Mercado_Receita!$N$2:$N$508)</f>
        <v>0</v>
      </c>
      <c r="T23" s="13">
        <f>SUMIF(Mercado_Receita!$T$2:$T$508,"44774B2Energia horáriaRuralCooperativa de eletrificação ruralNão se aplicaNão se aplicaFora ponta",Mercado_Receita!$N$2:$N$508)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7"/>
      <c r="B24" s="12" t="s">
        <v>86</v>
      </c>
      <c r="C24" s="12" t="s">
        <v>41</v>
      </c>
      <c r="D24" s="12" t="s">
        <v>90</v>
      </c>
      <c r="E24" s="12" t="s">
        <v>25</v>
      </c>
      <c r="F24" s="12" t="s">
        <v>25</v>
      </c>
      <c r="G24" s="13" t="s">
        <v>79</v>
      </c>
      <c r="H24" s="13" t="s">
        <v>73</v>
      </c>
      <c r="I24" s="13">
        <f>SUMIF(Mercado_Receita!$T$2:$T$508,"44440B2Energia convencionalRuralCooperativa de eletrificação ruralNão se aplicaNão se aplicaNão se aplica",Mercado_Receita!$N$2:$N$508)</f>
        <v>0</v>
      </c>
      <c r="J24" s="13">
        <f>SUMIF(Mercado_Receita!$T$2:$T$508,"44470B2Energia convencionalRuralCooperativa de eletrificação ruralNão se aplicaNão se aplicaNão se aplica",Mercado_Receita!$N$2:$N$508)</f>
        <v>0</v>
      </c>
      <c r="K24" s="13">
        <f>SUMIF(Mercado_Receita!$T$2:$T$508,"44501B2Energia convencionalRuralCooperativa de eletrificação ruralNão se aplicaNão se aplicaNão se aplica",Mercado_Receita!$N$2:$N$508)</f>
        <v>0</v>
      </c>
      <c r="L24" s="13">
        <f>SUMIF(Mercado_Receita!$T$2:$T$508,"44531B2Energia convencionalRuralCooperativa de eletrificação ruralNão se aplicaNão se aplicaNão se aplica",Mercado_Receita!$N$2:$N$508)</f>
        <v>0</v>
      </c>
      <c r="M24" s="13">
        <f>SUMIF(Mercado_Receita!$T$2:$T$508,"44562B2Energia convencionalRuralCooperativa de eletrificação ruralNão se aplicaNão se aplicaNão se aplica",Mercado_Receita!$N$2:$N$508)</f>
        <v>0</v>
      </c>
      <c r="N24" s="13">
        <f>SUMIF(Mercado_Receita!$T$2:$T$508,"44593B2Energia convencionalRuralCooperativa de eletrificação ruralNão se aplicaNão se aplicaNão se aplica",Mercado_Receita!$N$2:$N$508)</f>
        <v>0</v>
      </c>
      <c r="O24" s="13">
        <f>SUMIF(Mercado_Receita!$T$2:$T$508,"44621B2Energia convencionalRuralCooperativa de eletrificação ruralNão se aplicaNão se aplicaNão se aplica",Mercado_Receita!$N$2:$N$508)</f>
        <v>0</v>
      </c>
      <c r="P24" s="13">
        <f>SUMIF(Mercado_Receita!$T$2:$T$508,"44652B2Energia convencionalRuralCooperativa de eletrificação ruralNão se aplicaNão se aplicaNão se aplica",Mercado_Receita!$N$2:$N$508)</f>
        <v>0</v>
      </c>
      <c r="Q24" s="13">
        <f>SUMIF(Mercado_Receita!$T$2:$T$508,"44682B2Energia convencionalRuralCooperativa de eletrificação ruralNão se aplicaNão se aplicaNão se aplica",Mercado_Receita!$N$2:$N$508)</f>
        <v>0</v>
      </c>
      <c r="R24" s="13">
        <f>SUMIF(Mercado_Receita!$T$2:$T$508,"44713B2Energia convencionalRuralCooperativa de eletrificação ruralNão se aplicaNão se aplicaNão se aplica",Mercado_Receita!$N$2:$N$508)</f>
        <v>0</v>
      </c>
      <c r="S24" s="13">
        <f>SUMIF(Mercado_Receita!$T$2:$T$508,"44743B2Energia convencionalRuralCooperativa de eletrificação ruralNão se aplicaNão se aplicaNão se aplica",Mercado_Receita!$N$2:$N$508)</f>
        <v>0</v>
      </c>
      <c r="T24" s="13">
        <f>SUMIF(Mercado_Receita!$T$2:$T$508,"44774B2Energia convencionalRuralCooperativa de eletrificação ruralNão se aplicaNão se aplicaNão se aplica",Mercado_Receita!$N$2:$N$508)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7"/>
      <c r="B25" s="86" t="s">
        <v>72</v>
      </c>
      <c r="C25" s="86" t="s">
        <v>41</v>
      </c>
      <c r="D25" s="86" t="s">
        <v>91</v>
      </c>
      <c r="E25" s="86" t="s">
        <v>25</v>
      </c>
      <c r="F25" s="86" t="s">
        <v>25</v>
      </c>
      <c r="G25" s="13" t="s">
        <v>74</v>
      </c>
      <c r="H25" s="13" t="s">
        <v>73</v>
      </c>
      <c r="I25" s="13">
        <f>SUMIF(Mercado_Receita!$T$2:$T$508,"44440B2Energia horáriaRuralServiço público de irrigação ruralNão se aplicaNão se aplicaPonta",Mercado_Receita!$N$2:$N$508)</f>
        <v>0</v>
      </c>
      <c r="J25" s="13">
        <f>SUMIF(Mercado_Receita!$T$2:$T$508,"44470B2Energia horáriaRuralServiço público de irrigação ruralNão se aplicaNão se aplicaPonta",Mercado_Receita!$N$2:$N$508)</f>
        <v>0</v>
      </c>
      <c r="K25" s="13">
        <f>SUMIF(Mercado_Receita!$T$2:$T$508,"44501B2Energia horáriaRuralServiço público de irrigação ruralNão se aplicaNão se aplicaPonta",Mercado_Receita!$N$2:$N$508)</f>
        <v>0</v>
      </c>
      <c r="L25" s="13">
        <f>SUMIF(Mercado_Receita!$T$2:$T$508,"44531B2Energia horáriaRuralServiço público de irrigação ruralNão se aplicaNão se aplicaPonta",Mercado_Receita!$N$2:$N$508)</f>
        <v>0</v>
      </c>
      <c r="M25" s="13">
        <f>SUMIF(Mercado_Receita!$T$2:$T$508,"44562B2Energia horáriaRuralServiço público de irrigação ruralNão se aplicaNão se aplicaPonta",Mercado_Receita!$N$2:$N$508)</f>
        <v>0</v>
      </c>
      <c r="N25" s="13">
        <f>SUMIF(Mercado_Receita!$T$2:$T$508,"44593B2Energia horáriaRuralServiço público de irrigação ruralNão se aplicaNão se aplicaPonta",Mercado_Receita!$N$2:$N$508)</f>
        <v>0</v>
      </c>
      <c r="O25" s="13">
        <f>SUMIF(Mercado_Receita!$T$2:$T$508,"44621B2Energia horáriaRuralServiço público de irrigação ruralNão se aplicaNão se aplicaPonta",Mercado_Receita!$N$2:$N$508)</f>
        <v>0</v>
      </c>
      <c r="P25" s="13">
        <f>SUMIF(Mercado_Receita!$T$2:$T$508,"44652B2Energia horáriaRuralServiço público de irrigação ruralNão se aplicaNão se aplicaPonta",Mercado_Receita!$N$2:$N$508)</f>
        <v>0</v>
      </c>
      <c r="Q25" s="13">
        <f>SUMIF(Mercado_Receita!$T$2:$T$508,"44682B2Energia horáriaRuralServiço público de irrigação ruralNão se aplicaNão se aplicaPonta",Mercado_Receita!$N$2:$N$508)</f>
        <v>0</v>
      </c>
      <c r="R25" s="13">
        <f>SUMIF(Mercado_Receita!$T$2:$T$508,"44713B2Energia horáriaRuralServiço público de irrigação ruralNão se aplicaNão se aplicaPonta",Mercado_Receita!$N$2:$N$508)</f>
        <v>0</v>
      </c>
      <c r="S25" s="13">
        <f>SUMIF(Mercado_Receita!$T$2:$T$508,"44743B2Energia horáriaRuralServiço público de irrigação ruralNão se aplicaNão se aplicaPonta",Mercado_Receita!$N$2:$N$508)</f>
        <v>0</v>
      </c>
      <c r="T25" s="13">
        <f>SUMIF(Mercado_Receita!$T$2:$T$508,"44774B2Energia horáriaRuralServiço público de irrigação ruralNão se aplicaNão se aplicaPonta",Mercado_Receita!$N$2:$N$508)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7"/>
      <c r="B26" s="87"/>
      <c r="C26" s="87"/>
      <c r="D26" s="87"/>
      <c r="E26" s="87"/>
      <c r="F26" s="87"/>
      <c r="G26" s="13" t="s">
        <v>85</v>
      </c>
      <c r="H26" s="13" t="s">
        <v>73</v>
      </c>
      <c r="I26" s="13">
        <f>SUMIF(Mercado_Receita!$T$2:$T$508,"44440B2Energia horáriaRuralServiço público de irrigação ruralNão se aplicaNão se aplicaIntermediário",Mercado_Receita!$N$2:$N$508)</f>
        <v>0</v>
      </c>
      <c r="J26" s="13">
        <f>SUMIF(Mercado_Receita!$T$2:$T$508,"44470B2Energia horáriaRuralServiço público de irrigação ruralNão se aplicaNão se aplicaIntermediário",Mercado_Receita!$N$2:$N$508)</f>
        <v>0</v>
      </c>
      <c r="K26" s="13">
        <f>SUMIF(Mercado_Receita!$T$2:$T$508,"44501B2Energia horáriaRuralServiço público de irrigação ruralNão se aplicaNão se aplicaIntermediário",Mercado_Receita!$N$2:$N$508)</f>
        <v>0</v>
      </c>
      <c r="L26" s="13">
        <f>SUMIF(Mercado_Receita!$T$2:$T$508,"44531B2Energia horáriaRuralServiço público de irrigação ruralNão se aplicaNão se aplicaIntermediário",Mercado_Receita!$N$2:$N$508)</f>
        <v>0</v>
      </c>
      <c r="M26" s="13">
        <f>SUMIF(Mercado_Receita!$T$2:$T$508,"44562B2Energia horáriaRuralServiço público de irrigação ruralNão se aplicaNão se aplicaIntermediário",Mercado_Receita!$N$2:$N$508)</f>
        <v>0</v>
      </c>
      <c r="N26" s="13">
        <f>SUMIF(Mercado_Receita!$T$2:$T$508,"44593B2Energia horáriaRuralServiço público de irrigação ruralNão se aplicaNão se aplicaIntermediário",Mercado_Receita!$N$2:$N$508)</f>
        <v>0</v>
      </c>
      <c r="O26" s="13">
        <f>SUMIF(Mercado_Receita!$T$2:$T$508,"44621B2Energia horáriaRuralServiço público de irrigação ruralNão se aplicaNão se aplicaIntermediário",Mercado_Receita!$N$2:$N$508)</f>
        <v>0</v>
      </c>
      <c r="P26" s="13">
        <f>SUMIF(Mercado_Receita!$T$2:$T$508,"44652B2Energia horáriaRuralServiço público de irrigação ruralNão se aplicaNão se aplicaIntermediário",Mercado_Receita!$N$2:$N$508)</f>
        <v>0</v>
      </c>
      <c r="Q26" s="13">
        <f>SUMIF(Mercado_Receita!$T$2:$T$508,"44682B2Energia horáriaRuralServiço público de irrigação ruralNão se aplicaNão se aplicaIntermediário",Mercado_Receita!$N$2:$N$508)</f>
        <v>0</v>
      </c>
      <c r="R26" s="13">
        <f>SUMIF(Mercado_Receita!$T$2:$T$508,"44713B2Energia horáriaRuralServiço público de irrigação ruralNão se aplicaNão se aplicaIntermediário",Mercado_Receita!$N$2:$N$508)</f>
        <v>0</v>
      </c>
      <c r="S26" s="13">
        <f>SUMIF(Mercado_Receita!$T$2:$T$508,"44743B2Energia horáriaRuralServiço público de irrigação ruralNão se aplicaNão se aplicaIntermediário",Mercado_Receita!$N$2:$N$508)</f>
        <v>0</v>
      </c>
      <c r="T26" s="13">
        <f>SUMIF(Mercado_Receita!$T$2:$T$508,"44774B2Energia horáriaRuralServiço público de irrigação ruralNão se aplicaNão se aplicaIntermediário",Mercado_Receita!$N$2:$N$508)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7"/>
      <c r="B27" s="87"/>
      <c r="C27" s="87"/>
      <c r="D27" s="87"/>
      <c r="E27" s="87"/>
      <c r="F27" s="87"/>
      <c r="G27" s="13" t="s">
        <v>75</v>
      </c>
      <c r="H27" s="13" t="s">
        <v>73</v>
      </c>
      <c r="I27" s="13">
        <f>SUMIF(Mercado_Receita!$T$2:$T$508,"44440B2Energia horáriaRuralServiço público de irrigação ruralNão se aplicaNão se aplicaFora ponta",Mercado_Receita!$N$2:$N$508)</f>
        <v>0</v>
      </c>
      <c r="J27" s="13">
        <f>SUMIF(Mercado_Receita!$T$2:$T$508,"44470B2Energia horáriaRuralServiço público de irrigação ruralNão se aplicaNão se aplicaFora ponta",Mercado_Receita!$N$2:$N$508)</f>
        <v>0</v>
      </c>
      <c r="K27" s="13">
        <f>SUMIF(Mercado_Receita!$T$2:$T$508,"44501B2Energia horáriaRuralServiço público de irrigação ruralNão se aplicaNão se aplicaFora ponta",Mercado_Receita!$N$2:$N$508)</f>
        <v>0</v>
      </c>
      <c r="L27" s="13">
        <f>SUMIF(Mercado_Receita!$T$2:$T$508,"44531B2Energia horáriaRuralServiço público de irrigação ruralNão se aplicaNão se aplicaFora ponta",Mercado_Receita!$N$2:$N$508)</f>
        <v>0</v>
      </c>
      <c r="M27" s="13">
        <f>SUMIF(Mercado_Receita!$T$2:$T$508,"44562B2Energia horáriaRuralServiço público de irrigação ruralNão se aplicaNão se aplicaFora ponta",Mercado_Receita!$N$2:$N$508)</f>
        <v>0</v>
      </c>
      <c r="N27" s="13">
        <f>SUMIF(Mercado_Receita!$T$2:$T$508,"44593B2Energia horáriaRuralServiço público de irrigação ruralNão se aplicaNão se aplicaFora ponta",Mercado_Receita!$N$2:$N$508)</f>
        <v>0</v>
      </c>
      <c r="O27" s="13">
        <f>SUMIF(Mercado_Receita!$T$2:$T$508,"44621B2Energia horáriaRuralServiço público de irrigação ruralNão se aplicaNão se aplicaFora ponta",Mercado_Receita!$N$2:$N$508)</f>
        <v>0</v>
      </c>
      <c r="P27" s="13">
        <f>SUMIF(Mercado_Receita!$T$2:$T$508,"44652B2Energia horáriaRuralServiço público de irrigação ruralNão se aplicaNão se aplicaFora ponta",Mercado_Receita!$N$2:$N$508)</f>
        <v>0</v>
      </c>
      <c r="Q27" s="13">
        <f>SUMIF(Mercado_Receita!$T$2:$T$508,"44682B2Energia horáriaRuralServiço público de irrigação ruralNão se aplicaNão se aplicaFora ponta",Mercado_Receita!$N$2:$N$508)</f>
        <v>0</v>
      </c>
      <c r="R27" s="13">
        <f>SUMIF(Mercado_Receita!$T$2:$T$508,"44713B2Energia horáriaRuralServiço público de irrigação ruralNão se aplicaNão se aplicaFora ponta",Mercado_Receita!$N$2:$N$508)</f>
        <v>0</v>
      </c>
      <c r="S27" s="13">
        <f>SUMIF(Mercado_Receita!$T$2:$T$508,"44743B2Energia horáriaRuralServiço público de irrigação ruralNão se aplicaNão se aplicaFora ponta",Mercado_Receita!$N$2:$N$508)</f>
        <v>0</v>
      </c>
      <c r="T27" s="13">
        <f>SUMIF(Mercado_Receita!$T$2:$T$508,"44774B2Energia horáriaRuralServiço público de irrigação ruralNão se aplicaNão se aplicaFora ponta",Mercado_Receita!$N$2:$N$508)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7"/>
      <c r="B28" s="12" t="s">
        <v>86</v>
      </c>
      <c r="C28" s="12" t="s">
        <v>41</v>
      </c>
      <c r="D28" s="12" t="s">
        <v>91</v>
      </c>
      <c r="E28" s="12" t="s">
        <v>25</v>
      </c>
      <c r="F28" s="12" t="s">
        <v>25</v>
      </c>
      <c r="G28" s="13" t="s">
        <v>79</v>
      </c>
      <c r="H28" s="13" t="s">
        <v>73</v>
      </c>
      <c r="I28" s="13">
        <f>SUMIF(Mercado_Receita!$T$2:$T$508,"44440B2Energia convencionalRuralServiço público de irrigação ruralNão se aplicaNão se aplicaNão se aplica",Mercado_Receita!$N$2:$N$508)</f>
        <v>0</v>
      </c>
      <c r="J28" s="13">
        <f>SUMIF(Mercado_Receita!$T$2:$T$508,"44470B2Energia convencionalRuralServiço público de irrigação ruralNão se aplicaNão se aplicaNão se aplica",Mercado_Receita!$N$2:$N$508)</f>
        <v>0</v>
      </c>
      <c r="K28" s="13">
        <f>SUMIF(Mercado_Receita!$T$2:$T$508,"44501B2Energia convencionalRuralServiço público de irrigação ruralNão se aplicaNão se aplicaNão se aplica",Mercado_Receita!$N$2:$N$508)</f>
        <v>0</v>
      </c>
      <c r="L28" s="13">
        <f>SUMIF(Mercado_Receita!$T$2:$T$508,"44531B2Energia convencionalRuralServiço público de irrigação ruralNão se aplicaNão se aplicaNão se aplica",Mercado_Receita!$N$2:$N$508)</f>
        <v>0</v>
      </c>
      <c r="M28" s="13">
        <f>SUMIF(Mercado_Receita!$T$2:$T$508,"44562B2Energia convencionalRuralServiço público de irrigação ruralNão se aplicaNão se aplicaNão se aplica",Mercado_Receita!$N$2:$N$508)</f>
        <v>0</v>
      </c>
      <c r="N28" s="13">
        <f>SUMIF(Mercado_Receita!$T$2:$T$508,"44593B2Energia convencionalRuralServiço público de irrigação ruralNão se aplicaNão se aplicaNão se aplica",Mercado_Receita!$N$2:$N$508)</f>
        <v>0</v>
      </c>
      <c r="O28" s="13">
        <f>SUMIF(Mercado_Receita!$T$2:$T$508,"44621B2Energia convencionalRuralServiço público de irrigação ruralNão se aplicaNão se aplicaNão se aplica",Mercado_Receita!$N$2:$N$508)</f>
        <v>0</v>
      </c>
      <c r="P28" s="13">
        <f>SUMIF(Mercado_Receita!$T$2:$T$508,"44652B2Energia convencionalRuralServiço público de irrigação ruralNão se aplicaNão se aplicaNão se aplica",Mercado_Receita!$N$2:$N$508)</f>
        <v>0</v>
      </c>
      <c r="Q28" s="13">
        <f>SUMIF(Mercado_Receita!$T$2:$T$508,"44682B2Energia convencionalRuralServiço público de irrigação ruralNão se aplicaNão se aplicaNão se aplica",Mercado_Receita!$N$2:$N$508)</f>
        <v>0</v>
      </c>
      <c r="R28" s="13">
        <f>SUMIF(Mercado_Receita!$T$2:$T$508,"44713B2Energia convencionalRuralServiço público de irrigação ruralNão se aplicaNão se aplicaNão se aplica",Mercado_Receita!$N$2:$N$508)</f>
        <v>0</v>
      </c>
      <c r="S28" s="13">
        <f>SUMIF(Mercado_Receita!$T$2:$T$508,"44743B2Energia convencionalRuralServiço público de irrigação ruralNão se aplicaNão se aplicaNão se aplica",Mercado_Receita!$N$2:$N$508)</f>
        <v>0</v>
      </c>
      <c r="T28" s="13">
        <f>SUMIF(Mercado_Receita!$T$2:$T$508,"44774B2Energia convencionalRuralServiço público de irrigação ruralNão se aplicaNão se aplicaNão se aplica",Mercado_Receita!$N$2:$N$508)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7"/>
      <c r="B29" s="86" t="s">
        <v>88</v>
      </c>
      <c r="C29" s="86" t="s">
        <v>41</v>
      </c>
      <c r="D29" s="12" t="s">
        <v>25</v>
      </c>
      <c r="E29" s="12" t="s">
        <v>25</v>
      </c>
      <c r="F29" s="12" t="s">
        <v>25</v>
      </c>
      <c r="G29" s="13" t="s">
        <v>79</v>
      </c>
      <c r="H29" s="13" t="s">
        <v>73</v>
      </c>
      <c r="I29" s="13">
        <f>SUMIF(Mercado_Receita!$T$2:$T$508,"44440B2Energia convencional pré-pagamentoRuralNão se aplicaNão se aplicaNão se aplicaNão se aplica",Mercado_Receita!$N$2:$N$508)</f>
        <v>0</v>
      </c>
      <c r="J29" s="13">
        <f>SUMIF(Mercado_Receita!$T$2:$T$508,"44470B2Energia convencional pré-pagamentoRuralNão se aplicaNão se aplicaNão se aplicaNão se aplica",Mercado_Receita!$N$2:$N$508)</f>
        <v>0</v>
      </c>
      <c r="K29" s="13">
        <f>SUMIF(Mercado_Receita!$T$2:$T$508,"44501B2Energia convencional pré-pagamentoRuralNão se aplicaNão se aplicaNão se aplicaNão se aplica",Mercado_Receita!$N$2:$N$508)</f>
        <v>0</v>
      </c>
      <c r="L29" s="13">
        <f>SUMIF(Mercado_Receita!$T$2:$T$508,"44531B2Energia convencional pré-pagamentoRuralNão se aplicaNão se aplicaNão se aplicaNão se aplica",Mercado_Receita!$N$2:$N$508)</f>
        <v>0</v>
      </c>
      <c r="M29" s="13">
        <f>SUMIF(Mercado_Receita!$T$2:$T$508,"44562B2Energia convencional pré-pagamentoRuralNão se aplicaNão se aplicaNão se aplicaNão se aplica",Mercado_Receita!$N$2:$N$508)</f>
        <v>0</v>
      </c>
      <c r="N29" s="13">
        <f>SUMIF(Mercado_Receita!$T$2:$T$508,"44593B2Energia convencional pré-pagamentoRuralNão se aplicaNão se aplicaNão se aplicaNão se aplica",Mercado_Receita!$N$2:$N$508)</f>
        <v>0</v>
      </c>
      <c r="O29" s="13">
        <f>SUMIF(Mercado_Receita!$T$2:$T$508,"44621B2Energia convencional pré-pagamentoRuralNão se aplicaNão se aplicaNão se aplicaNão se aplica",Mercado_Receita!$N$2:$N$508)</f>
        <v>0</v>
      </c>
      <c r="P29" s="13">
        <f>SUMIF(Mercado_Receita!$T$2:$T$508,"44652B2Energia convencional pré-pagamentoRuralNão se aplicaNão se aplicaNão se aplicaNão se aplica",Mercado_Receita!$N$2:$N$508)</f>
        <v>0</v>
      </c>
      <c r="Q29" s="13">
        <f>SUMIF(Mercado_Receita!$T$2:$T$508,"44682B2Energia convencional pré-pagamentoRuralNão se aplicaNão se aplicaNão se aplicaNão se aplica",Mercado_Receita!$N$2:$N$508)</f>
        <v>0</v>
      </c>
      <c r="R29" s="13">
        <f>SUMIF(Mercado_Receita!$T$2:$T$508,"44713B2Energia convencional pré-pagamentoRuralNão se aplicaNão se aplicaNão se aplicaNão se aplica",Mercado_Receita!$N$2:$N$508)</f>
        <v>0</v>
      </c>
      <c r="S29" s="13">
        <f>SUMIF(Mercado_Receita!$T$2:$T$508,"44743B2Energia convencional pré-pagamentoRuralNão se aplicaNão se aplicaNão se aplicaNão se aplica",Mercado_Receita!$N$2:$N$508)</f>
        <v>0</v>
      </c>
      <c r="T29" s="13">
        <f>SUMIF(Mercado_Receita!$T$2:$T$508,"44774B2Energia convencional pré-pagamentoRuralNão se aplicaNão se aplicaNão se aplicaNão se aplica",Mercado_Receita!$N$2:$N$508)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7"/>
      <c r="B30" s="87"/>
      <c r="C30" s="87"/>
      <c r="D30" s="12" t="s">
        <v>90</v>
      </c>
      <c r="E30" s="12" t="s">
        <v>25</v>
      </c>
      <c r="F30" s="12" t="s">
        <v>25</v>
      </c>
      <c r="G30" s="13" t="s">
        <v>79</v>
      </c>
      <c r="H30" s="13" t="s">
        <v>73</v>
      </c>
      <c r="I30" s="13">
        <f>SUMIF(Mercado_Receita!$T$2:$T$508,"44440B2Energia convencional pré-pagamentoRuralCooperativa de eletrificação ruralNão se aplicaNão se aplicaNão se aplica",Mercado_Receita!$N$2:$N$508)</f>
        <v>0</v>
      </c>
      <c r="J30" s="13">
        <f>SUMIF(Mercado_Receita!$T$2:$T$508,"44470B2Energia convencional pré-pagamentoRuralCooperativa de eletrificação ruralNão se aplicaNão se aplicaNão se aplica",Mercado_Receita!$N$2:$N$508)</f>
        <v>0</v>
      </c>
      <c r="K30" s="13">
        <f>SUMIF(Mercado_Receita!$T$2:$T$508,"44501B2Energia convencional pré-pagamentoRuralCooperativa de eletrificação ruralNão se aplicaNão se aplicaNão se aplica",Mercado_Receita!$N$2:$N$508)</f>
        <v>0</v>
      </c>
      <c r="L30" s="13">
        <f>SUMIF(Mercado_Receita!$T$2:$T$508,"44531B2Energia convencional pré-pagamentoRuralCooperativa de eletrificação ruralNão se aplicaNão se aplicaNão se aplica",Mercado_Receita!$N$2:$N$508)</f>
        <v>0</v>
      </c>
      <c r="M30" s="13">
        <f>SUMIF(Mercado_Receita!$T$2:$T$508,"44562B2Energia convencional pré-pagamentoRuralCooperativa de eletrificação ruralNão se aplicaNão se aplicaNão se aplica",Mercado_Receita!$N$2:$N$508)</f>
        <v>0</v>
      </c>
      <c r="N30" s="13">
        <f>SUMIF(Mercado_Receita!$T$2:$T$508,"44593B2Energia convencional pré-pagamentoRuralCooperativa de eletrificação ruralNão se aplicaNão se aplicaNão se aplica",Mercado_Receita!$N$2:$N$508)</f>
        <v>0</v>
      </c>
      <c r="O30" s="13">
        <f>SUMIF(Mercado_Receita!$T$2:$T$508,"44621B2Energia convencional pré-pagamentoRuralCooperativa de eletrificação ruralNão se aplicaNão se aplicaNão se aplica",Mercado_Receita!$N$2:$N$508)</f>
        <v>0</v>
      </c>
      <c r="P30" s="13">
        <f>SUMIF(Mercado_Receita!$T$2:$T$508,"44652B2Energia convencional pré-pagamentoRuralCooperativa de eletrificação ruralNão se aplicaNão se aplicaNão se aplica",Mercado_Receita!$N$2:$N$508)</f>
        <v>0</v>
      </c>
      <c r="Q30" s="13">
        <f>SUMIF(Mercado_Receita!$T$2:$T$508,"44682B2Energia convencional pré-pagamentoRuralCooperativa de eletrificação ruralNão se aplicaNão se aplicaNão se aplica",Mercado_Receita!$N$2:$N$508)</f>
        <v>0</v>
      </c>
      <c r="R30" s="13">
        <f>SUMIF(Mercado_Receita!$T$2:$T$508,"44713B2Energia convencional pré-pagamentoRuralCooperativa de eletrificação ruralNão se aplicaNão se aplicaNão se aplica",Mercado_Receita!$N$2:$N$508)</f>
        <v>0</v>
      </c>
      <c r="S30" s="13">
        <f>SUMIF(Mercado_Receita!$T$2:$T$508,"44743B2Energia convencional pré-pagamentoRuralCooperativa de eletrificação ruralNão se aplicaNão se aplicaNão se aplica",Mercado_Receita!$N$2:$N$508)</f>
        <v>0</v>
      </c>
      <c r="T30" s="13">
        <f>SUMIF(Mercado_Receita!$T$2:$T$508,"44774B2Energia convencional pré-pagamentoRuralCooperativa de eletrificação ruralNão se aplicaNão se aplicaNão se aplica",Mercado_Receita!$N$2:$N$508)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87"/>
      <c r="B31" s="87"/>
      <c r="C31" s="87"/>
      <c r="D31" s="12" t="s">
        <v>91</v>
      </c>
      <c r="E31" s="12" t="s">
        <v>25</v>
      </c>
      <c r="F31" s="12" t="s">
        <v>25</v>
      </c>
      <c r="G31" s="13" t="s">
        <v>79</v>
      </c>
      <c r="H31" s="13" t="s">
        <v>73</v>
      </c>
      <c r="I31" s="13">
        <f>SUMIF(Mercado_Receita!$T$2:$T$508,"44440B2Energia convencional pré-pagamentoRuralServiço público de irrigação ruralNão se aplicaNão se aplicaNão se aplica",Mercado_Receita!$N$2:$N$508)</f>
        <v>0</v>
      </c>
      <c r="J31" s="13">
        <f>SUMIF(Mercado_Receita!$T$2:$T$508,"44470B2Energia convencional pré-pagamentoRuralServiço público de irrigação ruralNão se aplicaNão se aplicaNão se aplica",Mercado_Receita!$N$2:$N$508)</f>
        <v>0</v>
      </c>
      <c r="K31" s="13">
        <f>SUMIF(Mercado_Receita!$T$2:$T$508,"44501B2Energia convencional pré-pagamentoRuralServiço público de irrigação ruralNão se aplicaNão se aplicaNão se aplica",Mercado_Receita!$N$2:$N$508)</f>
        <v>0</v>
      </c>
      <c r="L31" s="13">
        <f>SUMIF(Mercado_Receita!$T$2:$T$508,"44531B2Energia convencional pré-pagamentoRuralServiço público de irrigação ruralNão se aplicaNão se aplicaNão se aplica",Mercado_Receita!$N$2:$N$508)</f>
        <v>0</v>
      </c>
      <c r="M31" s="13">
        <f>SUMIF(Mercado_Receita!$T$2:$T$508,"44562B2Energia convencional pré-pagamentoRuralServiço público de irrigação ruralNão se aplicaNão se aplicaNão se aplica",Mercado_Receita!$N$2:$N$508)</f>
        <v>0</v>
      </c>
      <c r="N31" s="13">
        <f>SUMIF(Mercado_Receita!$T$2:$T$508,"44593B2Energia convencional pré-pagamentoRuralServiço público de irrigação ruralNão se aplicaNão se aplicaNão se aplica",Mercado_Receita!$N$2:$N$508)</f>
        <v>0</v>
      </c>
      <c r="O31" s="13">
        <f>SUMIF(Mercado_Receita!$T$2:$T$508,"44621B2Energia convencional pré-pagamentoRuralServiço público de irrigação ruralNão se aplicaNão se aplicaNão se aplica",Mercado_Receita!$N$2:$N$508)</f>
        <v>0</v>
      </c>
      <c r="P31" s="13">
        <f>SUMIF(Mercado_Receita!$T$2:$T$508,"44652B2Energia convencional pré-pagamentoRuralServiço público de irrigação ruralNão se aplicaNão se aplicaNão se aplica",Mercado_Receita!$N$2:$N$508)</f>
        <v>0</v>
      </c>
      <c r="Q31" s="13">
        <f>SUMIF(Mercado_Receita!$T$2:$T$508,"44682B2Energia convencional pré-pagamentoRuralServiço público de irrigação ruralNão se aplicaNão se aplicaNão se aplica",Mercado_Receita!$N$2:$N$508)</f>
        <v>0</v>
      </c>
      <c r="R31" s="13">
        <f>SUMIF(Mercado_Receita!$T$2:$T$508,"44713B2Energia convencional pré-pagamentoRuralServiço público de irrigação ruralNão se aplicaNão se aplicaNão se aplica",Mercado_Receita!$N$2:$N$508)</f>
        <v>0</v>
      </c>
      <c r="S31" s="13">
        <f>SUMIF(Mercado_Receita!$T$2:$T$508,"44743B2Energia convencional pré-pagamentoRuralServiço público de irrigação ruralNão se aplicaNão se aplicaNão se aplica",Mercado_Receita!$N$2:$N$508)</f>
        <v>0</v>
      </c>
      <c r="T31" s="13">
        <f>SUMIF(Mercado_Receita!$T$2:$T$508,"44774B2Energia convencional pré-pagamentoRuralServiço público de irrigação ruralNão se aplicaNão se aplicaNão se aplica",Mercado_Receita!$N$2:$N$508)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6" t="s">
        <v>33</v>
      </c>
      <c r="B32" s="86" t="s">
        <v>72</v>
      </c>
      <c r="C32" s="86" t="s">
        <v>25</v>
      </c>
      <c r="D32" s="86" t="s">
        <v>25</v>
      </c>
      <c r="E32" s="86" t="s">
        <v>25</v>
      </c>
      <c r="F32" s="86" t="s">
        <v>25</v>
      </c>
      <c r="G32" s="13" t="s">
        <v>74</v>
      </c>
      <c r="H32" s="13" t="s">
        <v>73</v>
      </c>
      <c r="I32" s="13">
        <f>SUMIF(Mercado_Receita!$T$2:$T$508,"44440B3Energia horáriaNão se aplicaNão se aplicaNão se aplicaNão se aplicaPonta",Mercado_Receita!$N$2:$N$508)</f>
        <v>0</v>
      </c>
      <c r="J32" s="13">
        <f>SUMIF(Mercado_Receita!$T$2:$T$508,"44470B3Energia horáriaNão se aplicaNão se aplicaNão se aplicaNão se aplicaPonta",Mercado_Receita!$N$2:$N$508)</f>
        <v>0</v>
      </c>
      <c r="K32" s="13">
        <f>SUMIF(Mercado_Receita!$T$2:$T$508,"44501B3Energia horáriaNão se aplicaNão se aplicaNão se aplicaNão se aplicaPonta",Mercado_Receita!$N$2:$N$508)</f>
        <v>0</v>
      </c>
      <c r="L32" s="13">
        <f>SUMIF(Mercado_Receita!$T$2:$T$508,"44531B3Energia horáriaNão se aplicaNão se aplicaNão se aplicaNão se aplicaPonta",Mercado_Receita!$N$2:$N$508)</f>
        <v>0</v>
      </c>
      <c r="M32" s="13">
        <f>SUMIF(Mercado_Receita!$T$2:$T$508,"44562B3Energia horáriaNão se aplicaNão se aplicaNão se aplicaNão se aplicaPonta",Mercado_Receita!$N$2:$N$508)</f>
        <v>0</v>
      </c>
      <c r="N32" s="13">
        <f>SUMIF(Mercado_Receita!$T$2:$T$508,"44593B3Energia horáriaNão se aplicaNão se aplicaNão se aplicaNão se aplicaPonta",Mercado_Receita!$N$2:$N$508)</f>
        <v>0</v>
      </c>
      <c r="O32" s="13">
        <f>SUMIF(Mercado_Receita!$T$2:$T$508,"44621B3Energia horáriaNão se aplicaNão se aplicaNão se aplicaNão se aplicaPonta",Mercado_Receita!$N$2:$N$508)</f>
        <v>0</v>
      </c>
      <c r="P32" s="13">
        <f>SUMIF(Mercado_Receita!$T$2:$T$508,"44652B3Energia horáriaNão se aplicaNão se aplicaNão se aplicaNão se aplicaPonta",Mercado_Receita!$N$2:$N$508)</f>
        <v>0</v>
      </c>
      <c r="Q32" s="13">
        <f>SUMIF(Mercado_Receita!$T$2:$T$508,"44682B3Energia horáriaNão se aplicaNão se aplicaNão se aplicaNão se aplicaPonta",Mercado_Receita!$N$2:$N$508)</f>
        <v>0</v>
      </c>
      <c r="R32" s="13">
        <f>SUMIF(Mercado_Receita!$T$2:$T$508,"44713B3Energia horáriaNão se aplicaNão se aplicaNão se aplicaNão se aplicaPonta",Mercado_Receita!$N$2:$N$508)</f>
        <v>0</v>
      </c>
      <c r="S32" s="13">
        <f>SUMIF(Mercado_Receita!$T$2:$T$508,"44743B3Energia horáriaNão se aplicaNão se aplicaNão se aplicaNão se aplicaPonta",Mercado_Receita!$N$2:$N$508)</f>
        <v>0</v>
      </c>
      <c r="T32" s="13">
        <f>SUMIF(Mercado_Receita!$T$2:$T$508,"44774B3Energia horáriaNão se aplicaNão se aplicaNão se aplicaNão se aplicaPonta",Mercado_Receita!$N$2:$N$508)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7"/>
      <c r="B33" s="87"/>
      <c r="C33" s="87"/>
      <c r="D33" s="87"/>
      <c r="E33" s="87"/>
      <c r="F33" s="87"/>
      <c r="G33" s="13" t="s">
        <v>85</v>
      </c>
      <c r="H33" s="13" t="s">
        <v>73</v>
      </c>
      <c r="I33" s="13">
        <f>SUMIF(Mercado_Receita!$T$2:$T$508,"44440B3Energia horáriaNão se aplicaNão se aplicaNão se aplicaNão se aplicaIntermediário",Mercado_Receita!$N$2:$N$508)</f>
        <v>0</v>
      </c>
      <c r="J33" s="13">
        <f>SUMIF(Mercado_Receita!$T$2:$T$508,"44470B3Energia horáriaNão se aplicaNão se aplicaNão se aplicaNão se aplicaIntermediário",Mercado_Receita!$N$2:$N$508)</f>
        <v>0</v>
      </c>
      <c r="K33" s="13">
        <f>SUMIF(Mercado_Receita!$T$2:$T$508,"44501B3Energia horáriaNão se aplicaNão se aplicaNão se aplicaNão se aplicaIntermediário",Mercado_Receita!$N$2:$N$508)</f>
        <v>0</v>
      </c>
      <c r="L33" s="13">
        <f>SUMIF(Mercado_Receita!$T$2:$T$508,"44531B3Energia horáriaNão se aplicaNão se aplicaNão se aplicaNão se aplicaIntermediário",Mercado_Receita!$N$2:$N$508)</f>
        <v>0</v>
      </c>
      <c r="M33" s="13">
        <f>SUMIF(Mercado_Receita!$T$2:$T$508,"44562B3Energia horáriaNão se aplicaNão se aplicaNão se aplicaNão se aplicaIntermediário",Mercado_Receita!$N$2:$N$508)</f>
        <v>0</v>
      </c>
      <c r="N33" s="13">
        <f>SUMIF(Mercado_Receita!$T$2:$T$508,"44593B3Energia horáriaNão se aplicaNão se aplicaNão se aplicaNão se aplicaIntermediário",Mercado_Receita!$N$2:$N$508)</f>
        <v>0</v>
      </c>
      <c r="O33" s="13">
        <f>SUMIF(Mercado_Receita!$T$2:$T$508,"44621B3Energia horáriaNão se aplicaNão se aplicaNão se aplicaNão se aplicaIntermediário",Mercado_Receita!$N$2:$N$508)</f>
        <v>0</v>
      </c>
      <c r="P33" s="13">
        <f>SUMIF(Mercado_Receita!$T$2:$T$508,"44652B3Energia horáriaNão se aplicaNão se aplicaNão se aplicaNão se aplicaIntermediário",Mercado_Receita!$N$2:$N$508)</f>
        <v>0</v>
      </c>
      <c r="Q33" s="13">
        <f>SUMIF(Mercado_Receita!$T$2:$T$508,"44682B3Energia horáriaNão se aplicaNão se aplicaNão se aplicaNão se aplicaIntermediário",Mercado_Receita!$N$2:$N$508)</f>
        <v>0</v>
      </c>
      <c r="R33" s="13">
        <f>SUMIF(Mercado_Receita!$T$2:$T$508,"44713B3Energia horáriaNão se aplicaNão se aplicaNão se aplicaNão se aplicaIntermediário",Mercado_Receita!$N$2:$N$508)</f>
        <v>0</v>
      </c>
      <c r="S33" s="13">
        <f>SUMIF(Mercado_Receita!$T$2:$T$508,"44743B3Energia horáriaNão se aplicaNão se aplicaNão se aplicaNão se aplicaIntermediário",Mercado_Receita!$N$2:$N$508)</f>
        <v>0</v>
      </c>
      <c r="T33" s="13">
        <f>SUMIF(Mercado_Receita!$T$2:$T$508,"44774B3Energia horáriaNão se aplicaNão se aplicaNão se aplicaNão se aplicaIntermediário",Mercado_Receita!$N$2:$N$508)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7"/>
      <c r="B34" s="87"/>
      <c r="C34" s="87"/>
      <c r="D34" s="87"/>
      <c r="E34" s="87"/>
      <c r="F34" s="87"/>
      <c r="G34" s="13" t="s">
        <v>75</v>
      </c>
      <c r="H34" s="13" t="s">
        <v>73</v>
      </c>
      <c r="I34" s="13">
        <f>SUMIF(Mercado_Receita!$T$2:$T$508,"44440B3Energia horáriaNão se aplicaNão se aplicaNão se aplicaNão se aplicaFora ponta",Mercado_Receita!$N$2:$N$508)</f>
        <v>0</v>
      </c>
      <c r="J34" s="13">
        <f>SUMIF(Mercado_Receita!$T$2:$T$508,"44470B3Energia horáriaNão se aplicaNão se aplicaNão se aplicaNão se aplicaFora ponta",Mercado_Receita!$N$2:$N$508)</f>
        <v>0</v>
      </c>
      <c r="K34" s="13">
        <f>SUMIF(Mercado_Receita!$T$2:$T$508,"44501B3Energia horáriaNão se aplicaNão se aplicaNão se aplicaNão se aplicaFora ponta",Mercado_Receita!$N$2:$N$508)</f>
        <v>0</v>
      </c>
      <c r="L34" s="13">
        <f>SUMIF(Mercado_Receita!$T$2:$T$508,"44531B3Energia horáriaNão se aplicaNão se aplicaNão se aplicaNão se aplicaFora ponta",Mercado_Receita!$N$2:$N$508)</f>
        <v>0</v>
      </c>
      <c r="M34" s="13">
        <f>SUMIF(Mercado_Receita!$T$2:$T$508,"44562B3Energia horáriaNão se aplicaNão se aplicaNão se aplicaNão se aplicaFora ponta",Mercado_Receita!$N$2:$N$508)</f>
        <v>0</v>
      </c>
      <c r="N34" s="13">
        <f>SUMIF(Mercado_Receita!$T$2:$T$508,"44593B3Energia horáriaNão se aplicaNão se aplicaNão se aplicaNão se aplicaFora ponta",Mercado_Receita!$N$2:$N$508)</f>
        <v>0</v>
      </c>
      <c r="O34" s="13">
        <f>SUMIF(Mercado_Receita!$T$2:$T$508,"44621B3Energia horáriaNão se aplicaNão se aplicaNão se aplicaNão se aplicaFora ponta",Mercado_Receita!$N$2:$N$508)</f>
        <v>0</v>
      </c>
      <c r="P34" s="13">
        <f>SUMIF(Mercado_Receita!$T$2:$T$508,"44652B3Energia horáriaNão se aplicaNão se aplicaNão se aplicaNão se aplicaFora ponta",Mercado_Receita!$N$2:$N$508)</f>
        <v>0</v>
      </c>
      <c r="Q34" s="13">
        <f>SUMIF(Mercado_Receita!$T$2:$T$508,"44682B3Energia horáriaNão se aplicaNão se aplicaNão se aplicaNão se aplicaFora ponta",Mercado_Receita!$N$2:$N$508)</f>
        <v>0</v>
      </c>
      <c r="R34" s="13">
        <f>SUMIF(Mercado_Receita!$T$2:$T$508,"44713B3Energia horáriaNão se aplicaNão se aplicaNão se aplicaNão se aplicaFora ponta",Mercado_Receita!$N$2:$N$508)</f>
        <v>0</v>
      </c>
      <c r="S34" s="13">
        <f>SUMIF(Mercado_Receita!$T$2:$T$508,"44743B3Energia horáriaNão se aplicaNão se aplicaNão se aplicaNão se aplicaFora ponta",Mercado_Receita!$N$2:$N$508)</f>
        <v>0</v>
      </c>
      <c r="T34" s="13">
        <f>SUMIF(Mercado_Receita!$T$2:$T$508,"44774B3Energia horáriaNão se aplicaNão se aplicaNão se aplicaNão se aplicaFora ponta",Mercado_Receita!$N$2:$N$508)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7"/>
      <c r="B35" s="12" t="s">
        <v>86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79</v>
      </c>
      <c r="H35" s="13" t="s">
        <v>73</v>
      </c>
      <c r="I35" s="13">
        <f>SUMIF(Mercado_Receita!$T$2:$T$508,"44440B3Energia convencionalNão se aplicaNão se aplicaNão se aplicaNão se aplicaNão se aplica",Mercado_Receita!$N$2:$N$508)</f>
        <v>290.697</v>
      </c>
      <c r="J35" s="13">
        <f>SUMIF(Mercado_Receita!$T$2:$T$508,"44470B3Energia convencionalNão se aplicaNão se aplicaNão se aplicaNão se aplicaNão se aplica",Mercado_Receita!$N$2:$N$508)</f>
        <v>89.399999999999977</v>
      </c>
      <c r="K35" s="13">
        <f>SUMIF(Mercado_Receita!$T$2:$T$508,"44501B3Energia convencionalNão se aplicaNão se aplicaNão se aplicaNão se aplicaNão se aplica",Mercado_Receita!$N$2:$N$508)</f>
        <v>207.03899999999999</v>
      </c>
      <c r="L35" s="13">
        <f>SUMIF(Mercado_Receita!$T$2:$T$508,"44531B3Energia convencionalNão se aplicaNão se aplicaNão se aplicaNão se aplicaNão se aplica",Mercado_Receita!$N$2:$N$508)</f>
        <v>199.47499999999999</v>
      </c>
      <c r="M35" s="13">
        <f>SUMIF(Mercado_Receita!$T$2:$T$508,"44562B3Energia convencionalNão se aplicaNão se aplicaNão se aplicaNão se aplicaNão se aplica",Mercado_Receita!$N$2:$N$508)</f>
        <v>168.38899999999998</v>
      </c>
      <c r="N35" s="13">
        <f>SUMIF(Mercado_Receita!$T$2:$T$508,"44593B3Energia convencionalNão se aplicaNão se aplicaNão se aplicaNão se aplicaNão se aplica",Mercado_Receita!$N$2:$N$508)</f>
        <v>181.69399999999999</v>
      </c>
      <c r="O35" s="13">
        <f>SUMIF(Mercado_Receita!$T$2:$T$508,"44621B3Energia convencionalNão se aplicaNão se aplicaNão se aplicaNão se aplicaNão se aplica",Mercado_Receita!$N$2:$N$508)</f>
        <v>182.33299999999997</v>
      </c>
      <c r="P35" s="13">
        <f>SUMIF(Mercado_Receita!$T$2:$T$508,"44652B3Energia convencionalNão se aplicaNão se aplicaNão se aplicaNão se aplicaNão se aplica",Mercado_Receita!$N$2:$N$508)</f>
        <v>184.70899999999997</v>
      </c>
      <c r="Q35" s="13">
        <f>SUMIF(Mercado_Receita!$T$2:$T$508,"44682B3Energia convencionalNão se aplicaNão se aplicaNão se aplicaNão se aplicaNão se aplica",Mercado_Receita!$N$2:$N$508)</f>
        <v>171.40899999999996</v>
      </c>
      <c r="R35" s="13">
        <f>SUMIF(Mercado_Receita!$T$2:$T$508,"44713B3Energia convencionalNão se aplicaNão se aplicaNão se aplicaNão se aplicaNão se aplica",Mercado_Receita!$N$2:$N$508)</f>
        <v>161.93699999999998</v>
      </c>
      <c r="S35" s="13">
        <f>SUMIF(Mercado_Receita!$T$2:$T$508,"44743B3Energia convencionalNão se aplicaNão se aplicaNão se aplicaNão se aplicaNão se aplica",Mercado_Receita!$N$2:$N$508)</f>
        <v>161.44</v>
      </c>
      <c r="T35" s="13">
        <f>SUMIF(Mercado_Receita!$T$2:$T$508,"44774B3Energia convencionalNão se aplicaNão se aplicaNão se aplicaNão se aplicaNão se aplica",Mercado_Receita!$N$2:$N$508)</f>
        <v>204.02100000000002</v>
      </c>
      <c r="U35" s="13">
        <f t="shared" si="0"/>
        <v>2202.5430000000001</v>
      </c>
      <c r="V35" s="13"/>
      <c r="W35" s="13"/>
    </row>
    <row r="36" spans="1:23" ht="11.25" customHeight="1" x14ac:dyDescent="0.25">
      <c r="A36" s="87"/>
      <c r="B36" s="12" t="s">
        <v>88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79</v>
      </c>
      <c r="H36" s="13" t="s">
        <v>73</v>
      </c>
      <c r="I36" s="13">
        <f>SUMIF(Mercado_Receita!$T$2:$T$508,"44440B3Energia convencional pré-pagamentoNão se aplicaNão se aplicaNão se aplicaNão se aplicaNão se aplica",Mercado_Receita!$N$2:$N$508)</f>
        <v>0</v>
      </c>
      <c r="J36" s="13">
        <f>SUMIF(Mercado_Receita!$T$2:$T$508,"44470B3Energia convencional pré-pagamentoNão se aplicaNão se aplicaNão se aplicaNão se aplicaNão se aplica",Mercado_Receita!$N$2:$N$508)</f>
        <v>0</v>
      </c>
      <c r="K36" s="13">
        <f>SUMIF(Mercado_Receita!$T$2:$T$508,"44501B3Energia convencional pré-pagamentoNão se aplicaNão se aplicaNão se aplicaNão se aplicaNão se aplica",Mercado_Receita!$N$2:$N$508)</f>
        <v>0</v>
      </c>
      <c r="L36" s="13">
        <f>SUMIF(Mercado_Receita!$T$2:$T$508,"44531B3Energia convencional pré-pagamentoNão se aplicaNão se aplicaNão se aplicaNão se aplicaNão se aplica",Mercado_Receita!$N$2:$N$508)</f>
        <v>0</v>
      </c>
      <c r="M36" s="13">
        <f>SUMIF(Mercado_Receita!$T$2:$T$508,"44562B3Energia convencional pré-pagamentoNão se aplicaNão se aplicaNão se aplicaNão se aplicaNão se aplica",Mercado_Receita!$N$2:$N$508)</f>
        <v>0</v>
      </c>
      <c r="N36" s="13">
        <f>SUMIF(Mercado_Receita!$T$2:$T$508,"44593B3Energia convencional pré-pagamentoNão se aplicaNão se aplicaNão se aplicaNão se aplicaNão se aplica",Mercado_Receita!$N$2:$N$508)</f>
        <v>0</v>
      </c>
      <c r="O36" s="13">
        <f>SUMIF(Mercado_Receita!$T$2:$T$508,"44621B3Energia convencional pré-pagamentoNão se aplicaNão se aplicaNão se aplicaNão se aplicaNão se aplica",Mercado_Receita!$N$2:$N$508)</f>
        <v>0</v>
      </c>
      <c r="P36" s="13">
        <f>SUMIF(Mercado_Receita!$T$2:$T$508,"44652B3Energia convencional pré-pagamentoNão se aplicaNão se aplicaNão se aplicaNão se aplicaNão se aplica",Mercado_Receita!$N$2:$N$508)</f>
        <v>0</v>
      </c>
      <c r="Q36" s="13">
        <f>SUMIF(Mercado_Receita!$T$2:$T$508,"44682B3Energia convencional pré-pagamentoNão se aplicaNão se aplicaNão se aplicaNão se aplicaNão se aplica",Mercado_Receita!$N$2:$N$508)</f>
        <v>0</v>
      </c>
      <c r="R36" s="13">
        <f>SUMIF(Mercado_Receita!$T$2:$T$508,"44713B3Energia convencional pré-pagamentoNão se aplicaNão se aplicaNão se aplicaNão se aplicaNão se aplica",Mercado_Receita!$N$2:$N$508)</f>
        <v>0</v>
      </c>
      <c r="S36" s="13">
        <f>SUMIF(Mercado_Receita!$T$2:$T$508,"44743B3Energia convencional pré-pagamentoNão se aplicaNão se aplicaNão se aplicaNão se aplicaNão se aplica",Mercado_Receita!$N$2:$N$508)</f>
        <v>0</v>
      </c>
      <c r="T36" s="13">
        <f>SUMIF(Mercado_Receita!$T$2:$T$508,"44774B3Energia convencional pré-pagamentoNão se aplicaNão se aplicaNão se aplicaNão se aplicaNão se aplica",Mercado_Receita!$N$2:$N$508)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6" t="s">
        <v>43</v>
      </c>
      <c r="B37" s="86" t="s">
        <v>86</v>
      </c>
      <c r="C37" s="86" t="s">
        <v>44</v>
      </c>
      <c r="D37" s="12" t="s">
        <v>45</v>
      </c>
      <c r="E37" s="12" t="s">
        <v>25</v>
      </c>
      <c r="F37" s="12" t="s">
        <v>25</v>
      </c>
      <c r="G37" s="13" t="s">
        <v>79</v>
      </c>
      <c r="H37" s="13" t="s">
        <v>73</v>
      </c>
      <c r="I37" s="13">
        <f>SUMIF(Mercado_Receita!$T$2:$T$508,"44440B4Energia convencionalIluminação públicaIluminação pública – B4aNão se aplicaNão se aplicaNão se aplica",Mercado_Receita!$N$2:$N$508)</f>
        <v>63.576000000000001</v>
      </c>
      <c r="J37" s="13">
        <f>SUMIF(Mercado_Receita!$T$2:$T$508,"44470B4Energia convencionalIluminação públicaIluminação pública – B4aNão se aplicaNão se aplicaNão se aplica",Mercado_Receita!$N$2:$N$508)</f>
        <v>65.489000000000004</v>
      </c>
      <c r="K37" s="13">
        <f>SUMIF(Mercado_Receita!$T$2:$T$508,"44501B4Energia convencionalIluminação públicaIluminação pública – B4aNão se aplicaNão se aplicaNão se aplica",Mercado_Receita!$N$2:$N$508)</f>
        <v>65.093000000000004</v>
      </c>
      <c r="L37" s="13">
        <f>SUMIF(Mercado_Receita!$T$2:$T$508,"44531B4Energia convencionalIluminação públicaIluminação pública – B4aNão se aplicaNão se aplicaNão se aplica",Mercado_Receita!$N$2:$N$508)</f>
        <v>66.756</v>
      </c>
      <c r="M37" s="13">
        <f>SUMIF(Mercado_Receita!$T$2:$T$508,"44562B4Energia convencionalIluminação públicaIluminação pública – B4aNão se aplicaNão se aplicaNão se aplica",Mercado_Receita!$N$2:$N$508)</f>
        <v>66.445999999999998</v>
      </c>
      <c r="N37" s="13">
        <f>SUMIF(Mercado_Receita!$T$2:$T$508,"44593B4Energia convencionalIluminação públicaIluminação pública – B4aNão se aplicaNão se aplicaNão se aplica",Mercado_Receita!$N$2:$N$508)</f>
        <v>60.360999999999997</v>
      </c>
      <c r="O37" s="13">
        <f>SUMIF(Mercado_Receita!$T$2:$T$508,"44621B4Energia convencionalIluminação públicaIluminação pública – B4aNão se aplicaNão se aplicaNão se aplica",Mercado_Receita!$N$2:$N$508)</f>
        <v>66.873999999999995</v>
      </c>
      <c r="P37" s="13">
        <f>SUMIF(Mercado_Receita!$T$2:$T$508,"44652B4Energia convencionalIluminação públicaIluminação pública – B4aNão se aplicaNão se aplicaNão se aplica",Mercado_Receita!$N$2:$N$508)</f>
        <v>66.096000000000004</v>
      </c>
      <c r="Q37" s="13">
        <f>SUMIF(Mercado_Receita!$T$2:$T$508,"44682B4Energia convencionalIluminação públicaIluminação pública – B4aNão se aplicaNão se aplicaNão se aplica",Mercado_Receita!$N$2:$N$508)</f>
        <v>67.013999999999996</v>
      </c>
      <c r="R37" s="13">
        <f>SUMIF(Mercado_Receita!$T$2:$T$508,"44713B4Energia convencionalIluminação públicaIluminação pública – B4aNão se aplicaNão se aplicaNão se aplica",Mercado_Receita!$N$2:$N$508)</f>
        <v>64.759</v>
      </c>
      <c r="S37" s="13">
        <f>SUMIF(Mercado_Receita!$T$2:$T$508,"44743B4Energia convencionalIluminação públicaIluminação pública – B4aNão se aplicaNão se aplicaNão se aplica",Mercado_Receita!$N$2:$N$508)</f>
        <v>66.870999999999995</v>
      </c>
      <c r="T37" s="13">
        <f>SUMIF(Mercado_Receita!$T$2:$T$508,"44774B4Energia convencionalIluminação públicaIluminação pública – B4aNão se aplicaNão se aplicaNão se aplica",Mercado_Receita!$N$2:$N$508)</f>
        <v>66.802999999999997</v>
      </c>
      <c r="U37" s="13">
        <f t="shared" si="0"/>
        <v>786.13800000000003</v>
      </c>
      <c r="V37" s="13"/>
      <c r="W37" s="13"/>
    </row>
    <row r="38" spans="1:23" ht="11.25" customHeight="1" x14ac:dyDescent="0.25">
      <c r="A38" s="87"/>
      <c r="B38" s="87"/>
      <c r="C38" s="87"/>
      <c r="D38" s="13" t="s">
        <v>46</v>
      </c>
      <c r="E38" s="13" t="s">
        <v>25</v>
      </c>
      <c r="F38" s="13" t="s">
        <v>25</v>
      </c>
      <c r="G38" s="13" t="s">
        <v>79</v>
      </c>
      <c r="H38" s="13" t="s">
        <v>73</v>
      </c>
      <c r="I38" s="13">
        <f>SUMIF(Mercado_Receita!$T$2:$T$508,"44440B4Energia convencionalIluminação públicaIluminação pública – B4bNão se aplicaNão se aplicaNão se aplica",Mercado_Receita!$N$2:$N$508)</f>
        <v>2.0880000000000001</v>
      </c>
      <c r="J38" s="13">
        <f>SUMIF(Mercado_Receita!$T$2:$T$508,"44470B4Energia convencionalIluminação públicaIluminação pública – B4bNão se aplicaNão se aplicaNão se aplica",Mercado_Receita!$N$2:$N$508)</f>
        <v>2.157</v>
      </c>
      <c r="K38" s="13">
        <f>SUMIF(Mercado_Receita!$T$2:$T$508,"44501B4Energia convencionalIluminação públicaIluminação pública – B4bNão se aplicaNão se aplicaNão se aplica",Mercado_Receita!$N$2:$N$508)</f>
        <v>2.0880000000000001</v>
      </c>
      <c r="L38" s="13">
        <f>SUMIF(Mercado_Receita!$T$2:$T$508,"44531B4Energia convencionalIluminação públicaIluminação pública – B4bNão se aplicaNão se aplicaNão se aplica",Mercado_Receita!$N$2:$N$508)</f>
        <v>2.157</v>
      </c>
      <c r="M38" s="13">
        <f>SUMIF(Mercado_Receita!$T$2:$T$508,"44562B4Energia convencionalIluminação públicaIluminação pública – B4bNão se aplicaNão se aplicaNão se aplica",Mercado_Receita!$N$2:$N$508)</f>
        <v>2.157</v>
      </c>
      <c r="N38" s="13">
        <f>SUMIF(Mercado_Receita!$T$2:$T$508,"44593B4Energia convencionalIluminação públicaIluminação pública – B4bNão se aplicaNão se aplicaNão se aplica",Mercado_Receita!$N$2:$N$508)</f>
        <v>1.948</v>
      </c>
      <c r="O38" s="13">
        <f>SUMIF(Mercado_Receita!$T$2:$T$508,"44621B4Energia convencionalIluminação públicaIluminação pública – B4bNão se aplicaNão se aplicaNão se aplica",Mercado_Receita!$N$2:$N$508)</f>
        <v>2.157</v>
      </c>
      <c r="P38" s="13">
        <f>SUMIF(Mercado_Receita!$T$2:$T$508,"44652B4Energia convencionalIluminação públicaIluminação pública – B4bNão se aplicaNão se aplicaNão se aplica",Mercado_Receita!$N$2:$N$508)</f>
        <v>2.0880000000000001</v>
      </c>
      <c r="Q38" s="13">
        <f>SUMIF(Mercado_Receita!$T$2:$T$508,"44682B4Energia convencionalIluminação públicaIluminação pública – B4bNão se aplicaNão se aplicaNão se aplica",Mercado_Receita!$N$2:$N$508)</f>
        <v>2.157</v>
      </c>
      <c r="R38" s="13">
        <f>SUMIF(Mercado_Receita!$T$2:$T$508,"44713B4Energia convencionalIluminação públicaIluminação pública – B4bNão se aplicaNão se aplicaNão se aplica",Mercado_Receita!$N$2:$N$508)</f>
        <v>2.0880000000000001</v>
      </c>
      <c r="S38" s="13">
        <f>SUMIF(Mercado_Receita!$T$2:$T$508,"44743B4Energia convencionalIluminação públicaIluminação pública – B4bNão se aplicaNão se aplicaNão se aplica",Mercado_Receita!$N$2:$N$508)</f>
        <v>2.157</v>
      </c>
      <c r="T38" s="13">
        <f>SUMIF(Mercado_Receita!$T$2:$T$508,"44774B4Energia convencionalIluminação públicaIluminação pública – B4bNão se aplicaNão se aplicaNão se aplica",Mercado_Receita!$N$2:$N$508)</f>
        <v>2.157</v>
      </c>
      <c r="U38" s="13">
        <f t="shared" si="0"/>
        <v>25.399000000000001</v>
      </c>
      <c r="V38" s="13"/>
      <c r="W38" s="13"/>
    </row>
    <row r="39" spans="1:23" ht="11.25" customHeight="1" x14ac:dyDescent="0.25">
      <c r="A39" s="88" t="s">
        <v>410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7898-FF70-4290-AE2A-90137CF781F3}">
  <dimension ref="A1:AD200"/>
  <sheetViews>
    <sheetView showGridLines="0" topLeftCell="A36" zoomScaleNormal="100" workbookViewId="0">
      <selection activeCell="L48" sqref="L48:M51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0.85546875" style="14" bestFit="1" customWidth="1"/>
    <col min="8" max="11" width="9.140625" style="14"/>
    <col min="12" max="12" width="34.140625" style="14" bestFit="1" customWidth="1"/>
    <col min="13" max="13" width="10" style="14" bestFit="1" customWidth="1"/>
    <col min="14" max="14" width="36.140625" style="14" bestFit="1" customWidth="1"/>
    <col min="15" max="15" width="30.7109375" style="14" customWidth="1"/>
    <col min="16" max="16" width="13.140625" style="14" bestFit="1" customWidth="1"/>
    <col min="17" max="17" width="9.28515625" style="14" bestFit="1" customWidth="1"/>
    <col min="18" max="18" width="11.28515625" style="14" bestFit="1" customWidth="1"/>
    <col min="19" max="19" width="12.57031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14062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450</v>
      </c>
      <c r="B1" s="10" t="s">
        <v>451</v>
      </c>
      <c r="C1" s="10" t="s">
        <v>452</v>
      </c>
      <c r="D1" s="10" t="s">
        <v>453</v>
      </c>
      <c r="E1" s="10" t="s">
        <v>454</v>
      </c>
      <c r="F1" s="10" t="s">
        <v>455</v>
      </c>
      <c r="G1" s="7"/>
      <c r="H1" s="7"/>
      <c r="I1" s="7"/>
      <c r="J1" s="7"/>
      <c r="K1" s="7"/>
      <c r="L1" s="100" t="s">
        <v>456</v>
      </c>
      <c r="M1" s="100"/>
      <c r="N1" s="7"/>
      <c r="O1" s="95" t="s">
        <v>543</v>
      </c>
      <c r="P1" s="96"/>
      <c r="Q1" s="96"/>
      <c r="R1" s="96"/>
      <c r="S1" s="96"/>
      <c r="T1" s="96"/>
      <c r="U1" s="96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0" t="s">
        <v>411</v>
      </c>
      <c r="B2" s="90" t="s">
        <v>412</v>
      </c>
      <c r="C2" s="16" t="s">
        <v>497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457</v>
      </c>
      <c r="M2" s="61">
        <v>7.2499999999999995E-2</v>
      </c>
      <c r="N2" s="15"/>
      <c r="O2" s="28" t="s">
        <v>544</v>
      </c>
      <c r="P2" s="28" t="s">
        <v>545</v>
      </c>
      <c r="Q2" s="28" t="s">
        <v>546</v>
      </c>
      <c r="R2" s="28" t="s">
        <v>35</v>
      </c>
      <c r="S2" s="28" t="s">
        <v>547</v>
      </c>
      <c r="T2" s="28" t="s">
        <v>82</v>
      </c>
      <c r="U2" s="28"/>
      <c r="V2" s="15"/>
      <c r="W2" s="15"/>
      <c r="X2" s="23" t="s">
        <v>510</v>
      </c>
      <c r="Y2" s="15"/>
      <c r="Z2" s="15"/>
      <c r="AA2" s="15" t="s">
        <v>555</v>
      </c>
      <c r="AB2" s="15"/>
      <c r="AC2" s="15"/>
      <c r="AD2" s="15"/>
    </row>
    <row r="3" spans="1:30" ht="12" customHeight="1" x14ac:dyDescent="0.2">
      <c r="A3" s="91"/>
      <c r="B3" s="91"/>
      <c r="C3" s="16" t="s">
        <v>413</v>
      </c>
      <c r="D3" s="13">
        <v>37038.683252912764</v>
      </c>
      <c r="E3" s="13">
        <v>1717.3787376874666</v>
      </c>
      <c r="F3" s="13">
        <v>0</v>
      </c>
      <c r="G3" s="15"/>
      <c r="H3" s="15"/>
      <c r="I3" s="15"/>
      <c r="J3" s="15"/>
      <c r="K3" s="15"/>
      <c r="L3" s="23" t="s">
        <v>458</v>
      </c>
      <c r="M3" s="61"/>
      <c r="N3" s="15"/>
      <c r="O3" s="29">
        <v>1</v>
      </c>
      <c r="P3" s="29">
        <v>1</v>
      </c>
      <c r="Q3" s="29">
        <v>1</v>
      </c>
      <c r="R3" s="59">
        <v>1</v>
      </c>
      <c r="S3" s="29">
        <v>1</v>
      </c>
      <c r="T3" s="29">
        <v>1</v>
      </c>
      <c r="U3" s="29" t="s">
        <v>548</v>
      </c>
      <c r="V3" s="15"/>
      <c r="W3" s="15"/>
      <c r="X3" s="23" t="s">
        <v>511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1"/>
      <c r="B4" s="91"/>
      <c r="C4" s="16" t="s">
        <v>414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459</v>
      </c>
      <c r="M4" s="61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81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1"/>
      <c r="B5" s="91"/>
      <c r="C5" s="16" t="s">
        <v>415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460</v>
      </c>
      <c r="M5" s="61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1"/>
      <c r="B6" s="91"/>
      <c r="C6" s="16" t="s">
        <v>416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461</v>
      </c>
      <c r="M6" s="61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1"/>
      <c r="B7" s="91"/>
      <c r="C7" s="16" t="s">
        <v>417</v>
      </c>
      <c r="D7" s="13">
        <v>2860082.5921099996</v>
      </c>
      <c r="E7" s="13">
        <v>160108.37498343849</v>
      </c>
      <c r="F7" s="13">
        <v>0</v>
      </c>
      <c r="G7" s="15"/>
      <c r="H7" s="15"/>
      <c r="I7" s="15"/>
      <c r="J7" s="15"/>
      <c r="K7" s="15"/>
      <c r="L7" s="23" t="s">
        <v>462</v>
      </c>
      <c r="M7" s="23">
        <f>M8+M9+M10+M11</f>
        <v>2505.5403700000029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1"/>
      <c r="B8" s="91"/>
      <c r="C8" s="16" t="s">
        <v>418</v>
      </c>
      <c r="D8" s="13">
        <v>498272.18112000002</v>
      </c>
      <c r="E8" s="13">
        <v>28107.862599384738</v>
      </c>
      <c r="F8" s="13">
        <v>0</v>
      </c>
      <c r="G8" s="15"/>
      <c r="H8" s="15"/>
      <c r="I8" s="15"/>
      <c r="J8" s="15"/>
      <c r="K8" s="15"/>
      <c r="L8" s="62" t="s">
        <v>463</v>
      </c>
      <c r="M8" s="23">
        <v>1759.047170000003</v>
      </c>
      <c r="N8" s="15"/>
      <c r="O8" s="23" t="s">
        <v>496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1"/>
      <c r="B9" s="91"/>
      <c r="C9" s="16" t="s">
        <v>419</v>
      </c>
      <c r="D9" s="13"/>
      <c r="E9" s="13"/>
      <c r="F9" s="13"/>
      <c r="G9" s="15"/>
      <c r="H9" s="15"/>
      <c r="I9" s="15"/>
      <c r="J9" s="15"/>
      <c r="K9" s="15"/>
      <c r="L9" s="63" t="s">
        <v>464</v>
      </c>
      <c r="M9" s="23">
        <v>0</v>
      </c>
      <c r="N9" s="15"/>
      <c r="O9" s="23" t="s">
        <v>501</v>
      </c>
      <c r="P9" s="29">
        <f>SUM(Mercado_Receita!$J$2:$J$508)</f>
        <v>113802</v>
      </c>
      <c r="Q9" s="29">
        <v>113802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1"/>
      <c r="B10" s="92"/>
      <c r="C10" s="16" t="s">
        <v>420</v>
      </c>
      <c r="D10" s="13">
        <f>SUM(D$2:D9)</f>
        <v>3395393.4564829124</v>
      </c>
      <c r="E10" s="13">
        <f>SUM(E$2:E9)</f>
        <v>189933.61632051069</v>
      </c>
      <c r="F10" s="13">
        <f>SUM(F$2:F9)</f>
        <v>0</v>
      </c>
      <c r="G10" s="15"/>
      <c r="H10" s="15"/>
      <c r="I10" s="15"/>
      <c r="J10" s="15"/>
      <c r="K10" s="15"/>
      <c r="L10" s="62" t="s">
        <v>465</v>
      </c>
      <c r="M10" s="23">
        <v>39.734392818784677</v>
      </c>
      <c r="N10" s="15"/>
      <c r="O10" s="23" t="s">
        <v>502</v>
      </c>
      <c r="P10" s="29">
        <f>SUM(Mercado_Receita!$L$2:$L$508)</f>
        <v>35653.231999999989</v>
      </c>
      <c r="Q10" s="29">
        <v>35653.232000000004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1"/>
      <c r="B11" s="90" t="s">
        <v>421</v>
      </c>
      <c r="C11" s="16" t="s">
        <v>422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2" t="s">
        <v>466</v>
      </c>
      <c r="M11" s="23">
        <v>706.75880718121516</v>
      </c>
      <c r="N11" s="15"/>
      <c r="O11" s="23" t="s">
        <v>503</v>
      </c>
      <c r="P11" s="29">
        <f>SUM(Mercado_Receita!$N$2:$N$508)</f>
        <v>31288.311999999958</v>
      </c>
      <c r="Q11" s="29">
        <v>31288.312000000002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1"/>
      <c r="B12" s="91"/>
      <c r="C12" s="16" t="s">
        <v>423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467</v>
      </c>
      <c r="M12" s="23">
        <v>33793.852370000001</v>
      </c>
      <c r="N12" s="15"/>
      <c r="O12" s="23" t="s">
        <v>504</v>
      </c>
      <c r="P12" s="29">
        <f>SUMIF('MERCADO TUSD'!$H$2:$H$48,"kW",'MERCADO TUSD'!$U$2:$U$48)</f>
        <v>113802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1"/>
      <c r="B13" s="91"/>
      <c r="C13" s="16" t="s">
        <v>424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468</v>
      </c>
      <c r="M13" s="23">
        <v>617.3094474831064</v>
      </c>
      <c r="N13" s="15"/>
      <c r="O13" s="23" t="s">
        <v>505</v>
      </c>
      <c r="P13" s="29">
        <f>SUMIF('MERCADO TUSD'!$H$2:$H$48,"MWh",'MERCADO TUSD'!$U$2:$U$48)</f>
        <v>35653.231999999989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1"/>
      <c r="B14" s="91"/>
      <c r="C14" s="16" t="s">
        <v>425</v>
      </c>
      <c r="D14" s="13"/>
      <c r="E14" s="13"/>
      <c r="F14" s="13"/>
      <c r="G14" s="15"/>
      <c r="H14" s="15"/>
      <c r="I14" s="15"/>
      <c r="J14" s="15"/>
      <c r="K14" s="15"/>
      <c r="L14" s="23" t="s">
        <v>469</v>
      </c>
      <c r="M14" s="23">
        <v>185.37748296772634</v>
      </c>
      <c r="N14" s="15"/>
      <c r="O14" s="23" t="s">
        <v>506</v>
      </c>
      <c r="P14" s="29">
        <f>SUMIF('MERCADO TE'!$H$2:$H$38,"MWh",'MERCADO TE'!$U$2:$U$38)</f>
        <v>31288.311999999998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1"/>
      <c r="B15" s="91"/>
      <c r="C15" s="16" t="s">
        <v>426</v>
      </c>
      <c r="D15" s="13">
        <v>4050663.7402049992</v>
      </c>
      <c r="E15" s="13">
        <v>-422390.37368547905</v>
      </c>
      <c r="F15" s="13">
        <v>0</v>
      </c>
      <c r="G15" s="15"/>
      <c r="H15" s="15"/>
      <c r="I15" s="15"/>
      <c r="J15" s="15"/>
      <c r="K15" s="15"/>
      <c r="L15" s="23" t="s">
        <v>470</v>
      </c>
      <c r="M15" s="23">
        <f>M14*M12</f>
        <v>6264619.2921335334</v>
      </c>
      <c r="N15" s="15"/>
      <c r="O15" s="23" t="s">
        <v>507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1"/>
      <c r="B16" s="91"/>
      <c r="C16" s="16" t="s">
        <v>427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471</v>
      </c>
      <c r="M16" s="23">
        <v>-328378.73641297751</v>
      </c>
      <c r="N16" s="15"/>
      <c r="O16" s="23" t="s">
        <v>508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1"/>
      <c r="B17" s="91"/>
      <c r="C17" s="16" t="s">
        <v>428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472</v>
      </c>
      <c r="M17" s="23">
        <v>0</v>
      </c>
      <c r="N17" s="15"/>
      <c r="O17" s="23" t="s">
        <v>509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1"/>
      <c r="B18" s="92"/>
      <c r="C18" s="16" t="s">
        <v>420</v>
      </c>
      <c r="D18" s="13">
        <f>SUM(D$11:D17)</f>
        <v>4050663.7402049992</v>
      </c>
      <c r="E18" s="13">
        <f>SUM(E$11:E17)</f>
        <v>-422390.37368547905</v>
      </c>
      <c r="F18" s="13">
        <f>SUM(F$11:F17)</f>
        <v>0</v>
      </c>
      <c r="G18" s="15"/>
      <c r="H18" s="15"/>
      <c r="I18" s="15"/>
      <c r="J18" s="15"/>
      <c r="K18" s="15"/>
      <c r="L18" s="23" t="s">
        <v>473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1"/>
      <c r="B19" s="90" t="s">
        <v>429</v>
      </c>
      <c r="C19" s="16" t="s">
        <v>430</v>
      </c>
      <c r="D19" s="13">
        <v>8187106.6300000008</v>
      </c>
      <c r="E19" s="13">
        <v>-2231516.880356343</v>
      </c>
      <c r="F19" s="13">
        <v>0</v>
      </c>
      <c r="G19" s="15"/>
      <c r="H19" s="15"/>
      <c r="I19" s="15"/>
      <c r="J19" s="15"/>
      <c r="K19" s="15"/>
      <c r="L19" s="23" t="s">
        <v>474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1"/>
      <c r="B20" s="92"/>
      <c r="C20" s="16" t="s">
        <v>420</v>
      </c>
      <c r="D20" s="13">
        <f>SUM(D$19:D19)</f>
        <v>8187106.6300000008</v>
      </c>
      <c r="E20" s="13">
        <f>SUM(E$19:E19)</f>
        <v>-2231516.880356343</v>
      </c>
      <c r="F20" s="13">
        <f>SUM(F$19:F19)</f>
        <v>0</v>
      </c>
      <c r="G20" s="15"/>
      <c r="H20" s="15"/>
      <c r="I20" s="15"/>
      <c r="J20" s="15"/>
      <c r="K20" s="15"/>
      <c r="L20" s="23" t="s">
        <v>475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1"/>
      <c r="B21" s="90" t="s">
        <v>431</v>
      </c>
      <c r="C21" s="16" t="s">
        <v>432</v>
      </c>
      <c r="D21" s="13"/>
      <c r="E21" s="13">
        <f>IF($D$47&lt;&gt;0,(1-$D$46/$D$47)*-235423.857169704,0)+0</f>
        <v>-170335.2244935311</v>
      </c>
      <c r="F21" s="13"/>
      <c r="G21" s="15"/>
      <c r="H21" s="15"/>
      <c r="I21" s="15"/>
      <c r="J21" s="15"/>
      <c r="K21" s="15"/>
      <c r="L21" s="23" t="s">
        <v>476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1"/>
      <c r="B22" s="91"/>
      <c r="C22" s="16" t="s">
        <v>433</v>
      </c>
      <c r="D22" s="13"/>
      <c r="E22" s="13"/>
      <c r="F22" s="13"/>
      <c r="G22" s="15"/>
      <c r="H22" s="15"/>
      <c r="I22" s="15"/>
      <c r="J22" s="15"/>
      <c r="K22" s="15"/>
      <c r="L22" s="23" t="s">
        <v>498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1"/>
      <c r="B23" s="92"/>
      <c r="C23" s="16" t="s">
        <v>420</v>
      </c>
      <c r="D23" s="13">
        <f>SUM(D$21:D22)</f>
        <v>0</v>
      </c>
      <c r="E23" s="13">
        <f>SUM(E$21:E22)</f>
        <v>-170335.2244935311</v>
      </c>
      <c r="F23" s="13">
        <f>SUM(F$21:F22)</f>
        <v>0</v>
      </c>
      <c r="G23" s="15"/>
      <c r="H23" s="15"/>
      <c r="I23" s="15"/>
      <c r="J23" s="15"/>
      <c r="K23" s="15"/>
      <c r="L23" s="23" t="s">
        <v>477</v>
      </c>
      <c r="M23" s="23">
        <v>17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1"/>
      <c r="B24" s="90" t="s">
        <v>434</v>
      </c>
      <c r="C24" s="16" t="s">
        <v>435</v>
      </c>
      <c r="D24" s="13">
        <f>$M$14*$M$8</f>
        <v>326087.73679610278</v>
      </c>
      <c r="E24" s="13">
        <f>$M$16*$M$8/$M$12</f>
        <v>-17092.86294593069</v>
      </c>
      <c r="F24" s="13">
        <f>$M$17*$M$8/$M$12</f>
        <v>0</v>
      </c>
      <c r="G24" s="15"/>
      <c r="H24" s="15"/>
      <c r="I24" s="15"/>
      <c r="J24" s="15"/>
      <c r="K24" s="15"/>
      <c r="L24" s="23" t="s">
        <v>478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1"/>
      <c r="B25" s="91"/>
      <c r="C25" s="16" t="s">
        <v>436</v>
      </c>
      <c r="D25" s="13">
        <f>$M$14*$M$10</f>
        <v>7365.8617279972041</v>
      </c>
      <c r="E25" s="13">
        <f>$M$16*$M$10/$M$12</f>
        <v>-386.10364876756432</v>
      </c>
      <c r="F25" s="13">
        <f>$M$17*$M$10/$M$12</f>
        <v>0</v>
      </c>
      <c r="G25" s="15"/>
      <c r="H25" s="15"/>
      <c r="I25" s="15"/>
      <c r="J25" s="15"/>
      <c r="K25" s="15"/>
      <c r="L25" s="23" t="s">
        <v>479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1"/>
      <c r="B26" s="91"/>
      <c r="C26" s="16" t="s">
        <v>437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480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1"/>
      <c r="B27" s="91"/>
      <c r="C27" s="16" t="s">
        <v>438</v>
      </c>
      <c r="D27" s="13"/>
      <c r="E27" s="13"/>
      <c r="F27" s="13"/>
      <c r="G27" s="15"/>
      <c r="H27" s="15"/>
      <c r="I27" s="15"/>
      <c r="J27" s="15"/>
      <c r="K27" s="15"/>
      <c r="L27" s="23" t="s">
        <v>481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1"/>
      <c r="B28" s="92"/>
      <c r="C28" s="16" t="s">
        <v>420</v>
      </c>
      <c r="D28" s="13">
        <f>SUM(D$24:D27)</f>
        <v>333453.59852409997</v>
      </c>
      <c r="E28" s="13">
        <f>SUM(E$24:E27)</f>
        <v>-17478.966594698253</v>
      </c>
      <c r="F28" s="13">
        <f>SUM(F$24:F27)</f>
        <v>0</v>
      </c>
      <c r="G28" s="15"/>
      <c r="H28" s="15"/>
      <c r="I28" s="15"/>
      <c r="J28" s="15"/>
      <c r="K28" s="15"/>
      <c r="L28" s="23" t="s">
        <v>482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2"/>
      <c r="B29" s="93" t="s">
        <v>420</v>
      </c>
      <c r="C29" s="94"/>
      <c r="D29" s="13">
        <f>SUMIF(C$2:C28,"SUBTOTAL",D$2:D28)</f>
        <v>15966617.425212013</v>
      </c>
      <c r="E29" s="13">
        <f>SUMIF(C$2:C28,"SUBTOTAL",E$2:E28)</f>
        <v>-2651787.8288095407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483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0" t="s">
        <v>439</v>
      </c>
      <c r="B30" s="90" t="s">
        <v>412</v>
      </c>
      <c r="C30" s="16" t="s">
        <v>414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484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1"/>
      <c r="B31" s="91"/>
      <c r="C31" s="16" t="s">
        <v>440</v>
      </c>
      <c r="D31" s="13">
        <v>755462.82000000007</v>
      </c>
      <c r="E31" s="13">
        <v>8837.6698649977188</v>
      </c>
      <c r="F31" s="13">
        <v>0</v>
      </c>
      <c r="G31" s="15"/>
      <c r="H31" s="15"/>
      <c r="I31" s="15"/>
      <c r="J31" s="15"/>
      <c r="K31" s="15"/>
      <c r="L31" s="23" t="s">
        <v>485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1"/>
      <c r="B32" s="91"/>
      <c r="C32" s="16" t="s">
        <v>441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486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1"/>
      <c r="B33" s="91"/>
      <c r="C33" s="16" t="s">
        <v>500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487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1"/>
      <c r="B34" s="91"/>
      <c r="C34" s="16" t="s">
        <v>442</v>
      </c>
      <c r="D34" s="13">
        <v>-585451.85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488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1"/>
      <c r="B35" s="92"/>
      <c r="C35" s="16" t="s">
        <v>420</v>
      </c>
      <c r="D35" s="13">
        <f>SUM(D$30:D34)</f>
        <v>170010.97000000009</v>
      </c>
      <c r="E35" s="13">
        <f>SUM(E$30:E34)</f>
        <v>8837.6698649977188</v>
      </c>
      <c r="F35" s="13">
        <f>SUM(F$30:F34)</f>
        <v>0</v>
      </c>
      <c r="G35" s="15"/>
      <c r="H35" s="15"/>
      <c r="I35" s="15"/>
      <c r="J35" s="15"/>
      <c r="K35" s="15"/>
      <c r="L35" s="23" t="s">
        <v>489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1"/>
      <c r="B36" s="90" t="s">
        <v>443</v>
      </c>
      <c r="C36" s="16" t="s">
        <v>444</v>
      </c>
      <c r="D36" s="13">
        <f>$M$14*($M$12-$M$7)</f>
        <v>5800148.5248689074</v>
      </c>
      <c r="E36" s="13">
        <f>$M$16*($M$12-$M$7)/$M$12</f>
        <v>-304032.1134910314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490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1"/>
      <c r="B37" s="92"/>
      <c r="C37" s="16" t="s">
        <v>420</v>
      </c>
      <c r="D37" s="13">
        <f>SUM(D$36:D36)</f>
        <v>5800148.5248689074</v>
      </c>
      <c r="E37" s="13">
        <f>SUM(E$36:E36)</f>
        <v>-304032.1134910314</v>
      </c>
      <c r="F37" s="13">
        <f>SUM(F$36:F36)</f>
        <v>0</v>
      </c>
      <c r="G37" s="15"/>
      <c r="H37" s="15"/>
      <c r="I37" s="15"/>
      <c r="J37" s="15"/>
      <c r="K37" s="15"/>
      <c r="L37" s="23" t="s">
        <v>491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1"/>
      <c r="B38" s="90" t="s">
        <v>421</v>
      </c>
      <c r="C38" s="16" t="s">
        <v>445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492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549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1"/>
      <c r="B39" s="91"/>
      <c r="C39" s="16" t="s">
        <v>446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493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567</v>
      </c>
      <c r="P39" s="15" t="s">
        <v>568</v>
      </c>
      <c r="Q39" s="15" t="s">
        <v>569</v>
      </c>
      <c r="R39" s="15" t="s">
        <v>570</v>
      </c>
      <c r="S39" s="15" t="s">
        <v>1</v>
      </c>
      <c r="T39" s="15" t="s">
        <v>571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91"/>
      <c r="B40" s="91"/>
      <c r="C40" s="16" t="s">
        <v>447</v>
      </c>
      <c r="D40" s="13"/>
      <c r="E40" s="13"/>
      <c r="F40" s="13"/>
      <c r="G40" s="15"/>
      <c r="H40" s="15"/>
      <c r="I40" s="15"/>
      <c r="J40" s="15"/>
      <c r="K40" s="15"/>
      <c r="L40" s="23" t="s">
        <v>494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91"/>
      <c r="B41" s="92"/>
      <c r="C41" s="16" t="s">
        <v>420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91"/>
      <c r="B42" s="90" t="s">
        <v>431</v>
      </c>
      <c r="C42" s="16" t="s">
        <v>432</v>
      </c>
      <c r="D42" s="13"/>
      <c r="E42" s="13">
        <f>IF($D$47&lt;&gt;0,($D$46/$D$47)* -235423.857169704,0)+0</f>
        <v>-65088.632676172878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91"/>
      <c r="B43" s="92"/>
      <c r="C43" s="16" t="s">
        <v>420</v>
      </c>
      <c r="D43" s="13">
        <f>SUM(D$42:D42)</f>
        <v>0</v>
      </c>
      <c r="E43" s="13">
        <f>SUM(E$42:E42)</f>
        <v>-65088.632676172878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91"/>
      <c r="B44" s="90" t="s">
        <v>434</v>
      </c>
      <c r="C44" s="16" t="s">
        <v>448</v>
      </c>
      <c r="D44" s="13">
        <f>$M$14*$M$11</f>
        <v>131017.16874052629</v>
      </c>
      <c r="E44" s="13">
        <f>$M$16*$M$11/$M$12</f>
        <v>-6867.6563272478616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91"/>
      <c r="B45" s="92"/>
      <c r="C45" s="16" t="s">
        <v>420</v>
      </c>
      <c r="D45" s="13">
        <f>SUM(D$44:D44)</f>
        <v>131017.16874052629</v>
      </c>
      <c r="E45" s="13">
        <f>SUM(E$44:E44)</f>
        <v>-6867.6563272478616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2"/>
      <c r="B46" s="93" t="s">
        <v>420</v>
      </c>
      <c r="C46" s="94"/>
      <c r="D46" s="13">
        <f>SUMIF(C$30:C45,"SUBTOTAL",D$30:D45)</f>
        <v>6101176.663609433</v>
      </c>
      <c r="E46" s="13">
        <f>SUMIF(C$30:C45,"SUBTOTAL",E$30:E45)</f>
        <v>-367150.7326294544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93" t="s">
        <v>449</v>
      </c>
      <c r="B47" s="99"/>
      <c r="C47" s="94"/>
      <c r="D47" s="13">
        <f>SUMIF(C$2:C46,"SUBTOTAL",D$2:D46)</f>
        <v>22067794.088821448</v>
      </c>
      <c r="E47" s="13">
        <f>SUMIF(C$2:C46,"SUBTOTAL",E$2:E46)</f>
        <v>-3018938.5614389954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97" t="s">
        <v>541</v>
      </c>
      <c r="B48" s="98"/>
      <c r="C48" s="98"/>
      <c r="D48" s="26">
        <f ca="1">'TUSD BE'!$AM$53+'TUSD BE'!$AM$57+'TE BE'!$AB$43</f>
        <v>22067794.088821452</v>
      </c>
      <c r="E48" s="26">
        <f ca="1">'TUSD BF'!$AM$53+'TE BF'!$AB$43</f>
        <v>-3018938.5614389954</v>
      </c>
      <c r="F48" s="26">
        <f ca="1">'TUSD CVA'!$AM$53+'TE CVA'!$AB$43</f>
        <v>0</v>
      </c>
      <c r="G48" s="39">
        <f ca="1">SUM(D48:F48)</f>
        <v>19048855.527382456</v>
      </c>
      <c r="L48" s="60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97" t="s">
        <v>542</v>
      </c>
      <c r="B49" s="98"/>
      <c r="C49" s="98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60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L50" s="60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L51" s="50" t="s">
        <v>495</v>
      </c>
      <c r="M51" s="55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567</v>
      </c>
      <c r="P101" s="33" t="s">
        <v>572</v>
      </c>
      <c r="Q101" s="33" t="s">
        <v>573</v>
      </c>
      <c r="R101" s="33" t="s">
        <v>574</v>
      </c>
      <c r="S101" s="33" t="s">
        <v>575</v>
      </c>
      <c r="T101" s="33" t="s">
        <v>576</v>
      </c>
      <c r="U101" s="33" t="s">
        <v>577</v>
      </c>
      <c r="V101" s="33" t="s">
        <v>578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34</v>
      </c>
      <c r="P102" s="33" t="s">
        <v>23</v>
      </c>
      <c r="Q102" s="33" t="s">
        <v>40</v>
      </c>
      <c r="R102" s="33" t="s">
        <v>41</v>
      </c>
      <c r="S102" s="33" t="s">
        <v>25</v>
      </c>
      <c r="T102" s="33" t="s">
        <v>41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25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25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25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25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25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25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25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25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25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25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25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25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25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5C72-F356-4DE3-94CE-6EF3190C6D04}">
  <dimension ref="A1:AP51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9.285156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2" t="s">
        <v>63</v>
      </c>
      <c r="B1" s="102" t="s">
        <v>64</v>
      </c>
      <c r="C1" s="102" t="s">
        <v>65</v>
      </c>
      <c r="D1" s="102" t="s">
        <v>66</v>
      </c>
      <c r="E1" s="102" t="s">
        <v>67</v>
      </c>
      <c r="F1" s="102" t="s">
        <v>15</v>
      </c>
      <c r="G1" s="102" t="s">
        <v>69</v>
      </c>
      <c r="H1" s="102" t="s">
        <v>70</v>
      </c>
      <c r="I1" s="102" t="s">
        <v>512</v>
      </c>
      <c r="J1" s="95"/>
      <c r="L1" s="103" t="s">
        <v>513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P1" s="103" t="s">
        <v>514</v>
      </c>
    </row>
    <row r="2" spans="1:42" ht="11.2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95"/>
      <c r="L2" s="103" t="s">
        <v>411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P2" s="104"/>
    </row>
    <row r="3" spans="1:42" ht="11.2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95"/>
      <c r="L3" s="103" t="s">
        <v>412</v>
      </c>
      <c r="M3" s="103"/>
      <c r="N3" s="103"/>
      <c r="O3" s="103"/>
      <c r="P3" s="103"/>
      <c r="Q3" s="103"/>
      <c r="R3" s="103"/>
      <c r="S3" s="103"/>
      <c r="T3" s="103"/>
      <c r="U3" s="103" t="s">
        <v>421</v>
      </c>
      <c r="V3" s="103"/>
      <c r="W3" s="103"/>
      <c r="X3" s="103"/>
      <c r="Y3" s="103"/>
      <c r="Z3" s="103"/>
      <c r="AA3" s="103"/>
      <c r="AB3" s="103"/>
      <c r="AC3" s="103" t="s">
        <v>429</v>
      </c>
      <c r="AD3" s="103"/>
      <c r="AE3" s="103" t="s">
        <v>431</v>
      </c>
      <c r="AF3" s="103"/>
      <c r="AG3" s="103"/>
      <c r="AH3" s="103" t="s">
        <v>434</v>
      </c>
      <c r="AI3" s="103"/>
      <c r="AJ3" s="103"/>
      <c r="AK3" s="103"/>
      <c r="AL3" s="103"/>
      <c r="AM3" s="103" t="s">
        <v>420</v>
      </c>
      <c r="AP3" s="104"/>
    </row>
    <row r="4" spans="1:42" ht="11.2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95"/>
      <c r="L4" s="10" t="s">
        <v>497</v>
      </c>
      <c r="M4" s="10" t="s">
        <v>413</v>
      </c>
      <c r="N4" s="10" t="s">
        <v>414</v>
      </c>
      <c r="O4" s="10" t="s">
        <v>415</v>
      </c>
      <c r="P4" s="10" t="s">
        <v>416</v>
      </c>
      <c r="Q4" s="10" t="s">
        <v>417</v>
      </c>
      <c r="R4" s="10" t="s">
        <v>418</v>
      </c>
      <c r="S4" s="10" t="s">
        <v>419</v>
      </c>
      <c r="T4" s="10" t="s">
        <v>420</v>
      </c>
      <c r="U4" s="10" t="s">
        <v>422</v>
      </c>
      <c r="V4" s="10" t="s">
        <v>423</v>
      </c>
      <c r="W4" s="10" t="s">
        <v>424</v>
      </c>
      <c r="X4" s="10" t="s">
        <v>425</v>
      </c>
      <c r="Y4" s="10" t="s">
        <v>426</v>
      </c>
      <c r="Z4" s="10" t="s">
        <v>427</v>
      </c>
      <c r="AA4" s="10" t="s">
        <v>428</v>
      </c>
      <c r="AB4" s="10" t="s">
        <v>420</v>
      </c>
      <c r="AC4" s="10" t="s">
        <v>430</v>
      </c>
      <c r="AD4" s="10" t="s">
        <v>420</v>
      </c>
      <c r="AE4" s="10" t="s">
        <v>432</v>
      </c>
      <c r="AF4" s="10" t="s">
        <v>433</v>
      </c>
      <c r="AG4" s="10" t="s">
        <v>420</v>
      </c>
      <c r="AH4" s="10" t="s">
        <v>435</v>
      </c>
      <c r="AI4" s="10" t="s">
        <v>436</v>
      </c>
      <c r="AJ4" s="10" t="s">
        <v>437</v>
      </c>
      <c r="AK4" s="10" t="s">
        <v>438</v>
      </c>
      <c r="AL4" s="10" t="s">
        <v>420</v>
      </c>
      <c r="AM4" s="105"/>
      <c r="AP4" s="104"/>
    </row>
    <row r="5" spans="1:42" ht="11.25" customHeight="1" x14ac:dyDescent="0.25">
      <c r="A5" s="101" t="s">
        <v>35</v>
      </c>
      <c r="B5" s="101" t="s">
        <v>54</v>
      </c>
      <c r="C5" s="101" t="s">
        <v>25</v>
      </c>
      <c r="D5" s="101" t="s">
        <v>25</v>
      </c>
      <c r="E5" s="101" t="s">
        <v>25</v>
      </c>
      <c r="F5" s="101" t="s">
        <v>25</v>
      </c>
      <c r="G5" s="18" t="s">
        <v>77</v>
      </c>
      <c r="H5" s="18" t="s">
        <v>76</v>
      </c>
      <c r="I5" s="18">
        <f>'MERCADO TUSD'!$U$2</f>
        <v>1044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0.62749999999999995</v>
      </c>
      <c r="Z5" s="13">
        <v>0</v>
      </c>
      <c r="AA5" s="13">
        <v>0</v>
      </c>
      <c r="AB5" s="13"/>
      <c r="AC5" s="13">
        <v>56.802399999999999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101"/>
      <c r="B6" s="101"/>
      <c r="C6" s="101"/>
      <c r="D6" s="101"/>
      <c r="E6" s="101"/>
      <c r="F6" s="101"/>
      <c r="G6" s="18" t="s">
        <v>78</v>
      </c>
      <c r="H6" s="18" t="s">
        <v>76</v>
      </c>
      <c r="I6" s="18">
        <f>'MERCADO TUSD'!$U$3</f>
        <v>1080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0.28589999999999999</v>
      </c>
      <c r="Z6" s="13">
        <v>0</v>
      </c>
      <c r="AA6" s="13">
        <v>0</v>
      </c>
      <c r="AB6" s="13"/>
      <c r="AC6" s="13">
        <v>14.371600000000001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101"/>
      <c r="B7" s="101"/>
      <c r="C7" s="101"/>
      <c r="D7" s="101"/>
      <c r="E7" s="101"/>
      <c r="F7" s="101"/>
      <c r="G7" s="18" t="s">
        <v>79</v>
      </c>
      <c r="H7" s="18" t="s">
        <v>73</v>
      </c>
      <c r="I7" s="18">
        <f>'MERCADO TUSD'!$U$4</f>
        <v>562.31000000000006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101"/>
      <c r="B8" s="101"/>
      <c r="C8" s="101"/>
      <c r="D8" s="101"/>
      <c r="E8" s="17" t="s">
        <v>80</v>
      </c>
      <c r="F8" s="17" t="s">
        <v>25</v>
      </c>
      <c r="G8" s="18" t="s">
        <v>79</v>
      </c>
      <c r="H8" s="18" t="s">
        <v>73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101"/>
      <c r="B9" s="17" t="s">
        <v>81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76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13.5806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101"/>
      <c r="B10" s="101" t="s">
        <v>36</v>
      </c>
      <c r="C10" s="101" t="s">
        <v>25</v>
      </c>
      <c r="D10" s="101" t="s">
        <v>25</v>
      </c>
      <c r="E10" s="101" t="s">
        <v>25</v>
      </c>
      <c r="F10" s="101" t="s">
        <v>25</v>
      </c>
      <c r="G10" s="18" t="s">
        <v>9</v>
      </c>
      <c r="H10" s="18" t="s">
        <v>76</v>
      </c>
      <c r="I10" s="18">
        <f>'MERCADO TUSD'!$U$7</f>
        <v>111678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0.28589999999999999</v>
      </c>
      <c r="Z10" s="13">
        <v>0</v>
      </c>
      <c r="AA10" s="13">
        <v>0</v>
      </c>
      <c r="AB10" s="13"/>
      <c r="AC10" s="13">
        <v>14.371600000000001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101"/>
      <c r="B11" s="101"/>
      <c r="C11" s="101"/>
      <c r="D11" s="101"/>
      <c r="E11" s="101"/>
      <c r="F11" s="101"/>
      <c r="G11" s="18" t="s">
        <v>74</v>
      </c>
      <c r="H11" s="18" t="s">
        <v>73</v>
      </c>
      <c r="I11" s="18">
        <f>'MERCADO TUSD'!$U$8</f>
        <v>724.46799999999996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15.0899</v>
      </c>
      <c r="Z11" s="13">
        <v>0</v>
      </c>
      <c r="AA11" s="13">
        <v>0</v>
      </c>
      <c r="AB11" s="13"/>
      <c r="AC11" s="13">
        <v>1366.0989999999999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101"/>
      <c r="B12" s="101"/>
      <c r="C12" s="101"/>
      <c r="D12" s="101"/>
      <c r="E12" s="101"/>
      <c r="F12" s="101"/>
      <c r="G12" s="18" t="s">
        <v>75</v>
      </c>
      <c r="H12" s="18" t="s">
        <v>73</v>
      </c>
      <c r="I12" s="18">
        <f>'MERCADO TUSD'!$U$9</f>
        <v>19056.422999999999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101"/>
      <c r="B13" s="101"/>
      <c r="C13" s="101"/>
      <c r="D13" s="101"/>
      <c r="E13" s="101" t="s">
        <v>80</v>
      </c>
      <c r="F13" s="101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15.0899</v>
      </c>
      <c r="Z13" s="13">
        <v>0</v>
      </c>
      <c r="AA13" s="13">
        <v>0</v>
      </c>
      <c r="AB13" s="13"/>
      <c r="AC13" s="13">
        <v>1366.0989999999999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101"/>
      <c r="B14" s="101"/>
      <c r="C14" s="101"/>
      <c r="D14" s="101"/>
      <c r="E14" s="101"/>
      <c r="F14" s="101"/>
      <c r="G14" s="18" t="s">
        <v>75</v>
      </c>
      <c r="H14" s="18" t="s">
        <v>73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101" t="s">
        <v>82</v>
      </c>
      <c r="B15" s="101" t="s">
        <v>81</v>
      </c>
      <c r="C15" s="101" t="s">
        <v>25</v>
      </c>
      <c r="D15" s="101" t="s">
        <v>25</v>
      </c>
      <c r="E15" s="17" t="s">
        <v>83</v>
      </c>
      <c r="F15" s="17" t="s">
        <v>25</v>
      </c>
      <c r="G15" s="18" t="s">
        <v>9</v>
      </c>
      <c r="H15" s="18" t="s">
        <v>76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2.5666000000000002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101"/>
      <c r="B16" s="101"/>
      <c r="C16" s="101"/>
      <c r="D16" s="101"/>
      <c r="E16" s="17" t="s">
        <v>84</v>
      </c>
      <c r="F16" s="17" t="s">
        <v>25</v>
      </c>
      <c r="G16" s="18" t="s">
        <v>9</v>
      </c>
      <c r="H16" s="18" t="s">
        <v>76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14.143700000000001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101" t="s">
        <v>22</v>
      </c>
      <c r="B17" s="101" t="s">
        <v>87</v>
      </c>
      <c r="C17" s="101" t="s">
        <v>24</v>
      </c>
      <c r="D17" s="101" t="s">
        <v>24</v>
      </c>
      <c r="E17" s="101" t="s">
        <v>25</v>
      </c>
      <c r="F17" s="101" t="s">
        <v>25</v>
      </c>
      <c r="G17" s="18" t="s">
        <v>74</v>
      </c>
      <c r="H17" s="18" t="s">
        <v>73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6.5545999999999998</v>
      </c>
      <c r="Z17" s="13">
        <v>0</v>
      </c>
      <c r="AA17" s="13">
        <v>0</v>
      </c>
      <c r="AB17" s="13"/>
      <c r="AC17" s="13">
        <v>585.25990000000002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101"/>
      <c r="B18" s="101"/>
      <c r="C18" s="101"/>
      <c r="D18" s="101"/>
      <c r="E18" s="101"/>
      <c r="F18" s="101"/>
      <c r="G18" s="18" t="s">
        <v>85</v>
      </c>
      <c r="H18" s="18" t="s">
        <v>73</v>
      </c>
      <c r="I18" s="18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3.9327000000000001</v>
      </c>
      <c r="Z18" s="13">
        <v>0</v>
      </c>
      <c r="AA18" s="13">
        <v>0</v>
      </c>
      <c r="AB18" s="13"/>
      <c r="AC18" s="13">
        <v>351.15589999999997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101"/>
      <c r="B19" s="101"/>
      <c r="C19" s="101"/>
      <c r="D19" s="101"/>
      <c r="E19" s="101"/>
      <c r="F19" s="101"/>
      <c r="G19" s="18" t="s">
        <v>75</v>
      </c>
      <c r="H19" s="18" t="s">
        <v>73</v>
      </c>
      <c r="I19" s="18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1.3109</v>
      </c>
      <c r="Z19" s="13">
        <v>0</v>
      </c>
      <c r="AA19" s="13">
        <v>0</v>
      </c>
      <c r="AB19" s="13"/>
      <c r="AC19" s="13">
        <v>117.0519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101"/>
      <c r="B20" s="101" t="s">
        <v>23</v>
      </c>
      <c r="C20" s="101" t="s">
        <v>24</v>
      </c>
      <c r="D20" s="17" t="s">
        <v>24</v>
      </c>
      <c r="E20" s="17" t="s">
        <v>25</v>
      </c>
      <c r="F20" s="17" t="s">
        <v>25</v>
      </c>
      <c r="G20" s="18" t="s">
        <v>79</v>
      </c>
      <c r="H20" s="18" t="s">
        <v>73</v>
      </c>
      <c r="I20" s="18">
        <f>'MERCADO TUSD'!$U$17</f>
        <v>6839.3490000000002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2.2601</v>
      </c>
      <c r="Z20" s="13">
        <v>0</v>
      </c>
      <c r="AA20" s="13">
        <v>0</v>
      </c>
      <c r="AB20" s="13"/>
      <c r="AC20" s="13">
        <v>201.81370000000001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101"/>
      <c r="B21" s="101"/>
      <c r="C21" s="101"/>
      <c r="D21" s="17" t="s">
        <v>29</v>
      </c>
      <c r="E21" s="17" t="s">
        <v>25</v>
      </c>
      <c r="F21" s="17" t="s">
        <v>25</v>
      </c>
      <c r="G21" s="18" t="s">
        <v>79</v>
      </c>
      <c r="H21" s="18" t="s">
        <v>73</v>
      </c>
      <c r="I21" s="18">
        <f>'MERCADO TUSD'!$U$18</f>
        <v>69.570000000000007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CUSTOS!$M$24)*2.2601</f>
        <v>2.2601</v>
      </c>
      <c r="Z21" s="13">
        <v>0</v>
      </c>
      <c r="AA21" s="13">
        <v>0</v>
      </c>
      <c r="AB21" s="13"/>
      <c r="AC21" s="13">
        <f>(1 - CUSTOS!$M$24)*201.8137</f>
        <v>201.81370000000001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01"/>
      <c r="B22" s="101"/>
      <c r="C22" s="101"/>
      <c r="D22" s="17" t="s">
        <v>30</v>
      </c>
      <c r="E22" s="17" t="s">
        <v>25</v>
      </c>
      <c r="F22" s="17" t="s">
        <v>25</v>
      </c>
      <c r="G22" s="18" t="s">
        <v>79</v>
      </c>
      <c r="H22" s="18" t="s">
        <v>73</v>
      </c>
      <c r="I22" s="18">
        <f>'MERCADO TUSD'!$U$19</f>
        <v>149.51999999999998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CUSTOS!$M$25)*2.2601</f>
        <v>2.2601</v>
      </c>
      <c r="Z22" s="13">
        <v>0</v>
      </c>
      <c r="AA22" s="13">
        <v>0</v>
      </c>
      <c r="AB22" s="13"/>
      <c r="AC22" s="13">
        <f>(1 - CUSTOS!$M$25)*201.8137</f>
        <v>201.81370000000001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01"/>
      <c r="B23" s="101"/>
      <c r="C23" s="101"/>
      <c r="D23" s="17" t="s">
        <v>31</v>
      </c>
      <c r="E23" s="17" t="s">
        <v>25</v>
      </c>
      <c r="F23" s="17" t="s">
        <v>25</v>
      </c>
      <c r="G23" s="18" t="s">
        <v>79</v>
      </c>
      <c r="H23" s="18" t="s">
        <v>73</v>
      </c>
      <c r="I23" s="18">
        <f>'MERCADO TUSD'!$U$20</f>
        <v>134.06700000000001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CUSTOS!$M$26)*2.2601</f>
        <v>2.2601</v>
      </c>
      <c r="Z23" s="13">
        <v>0</v>
      </c>
      <c r="AA23" s="13">
        <v>0</v>
      </c>
      <c r="AB23" s="13"/>
      <c r="AC23" s="13">
        <f>(1 - CUSTOS!$M$26)*201.8137</f>
        <v>201.81370000000001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01"/>
      <c r="B24" s="101"/>
      <c r="C24" s="101"/>
      <c r="D24" s="17" t="s">
        <v>32</v>
      </c>
      <c r="E24" s="17" t="s">
        <v>25</v>
      </c>
      <c r="F24" s="17" t="s">
        <v>25</v>
      </c>
      <c r="G24" s="18" t="s">
        <v>79</v>
      </c>
      <c r="H24" s="18" t="s">
        <v>73</v>
      </c>
      <c r="I24" s="18">
        <f>'MERCADO TUSD'!$U$21</f>
        <v>36.650999999999996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CUSTOS!$M$27)*2.2601</f>
        <v>2.2601</v>
      </c>
      <c r="Z24" s="13">
        <v>0</v>
      </c>
      <c r="AA24" s="13">
        <v>0</v>
      </c>
      <c r="AB24" s="13"/>
      <c r="AC24" s="13">
        <f>(1 - CUSTOS!$M$27)*201.8137</f>
        <v>201.81370000000001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01"/>
      <c r="B25" s="101" t="s">
        <v>89</v>
      </c>
      <c r="C25" s="101" t="s">
        <v>24</v>
      </c>
      <c r="D25" s="17" t="s">
        <v>24</v>
      </c>
      <c r="E25" s="17" t="s">
        <v>25</v>
      </c>
      <c r="F25" s="17" t="s">
        <v>25</v>
      </c>
      <c r="G25" s="18" t="s">
        <v>79</v>
      </c>
      <c r="H25" s="18" t="s">
        <v>73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2.2601</v>
      </c>
      <c r="Z25" s="13">
        <v>0</v>
      </c>
      <c r="AA25" s="13">
        <v>0</v>
      </c>
      <c r="AB25" s="13"/>
      <c r="AC25" s="13">
        <v>201.81370000000001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101"/>
      <c r="B26" s="101"/>
      <c r="C26" s="101"/>
      <c r="D26" s="17" t="s">
        <v>29</v>
      </c>
      <c r="E26" s="17" t="s">
        <v>25</v>
      </c>
      <c r="F26" s="17" t="s">
        <v>25</v>
      </c>
      <c r="G26" s="18" t="s">
        <v>79</v>
      </c>
      <c r="H26" s="18" t="s">
        <v>73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CUSTOS!$M$24)*2.2601</f>
        <v>2.2601</v>
      </c>
      <c r="Z26" s="13">
        <v>0</v>
      </c>
      <c r="AA26" s="13">
        <v>0</v>
      </c>
      <c r="AB26" s="13"/>
      <c r="AC26" s="13">
        <f>(1 - CUSTOS!$M$24)*201.8137</f>
        <v>201.81370000000001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01"/>
      <c r="B27" s="101"/>
      <c r="C27" s="101"/>
      <c r="D27" s="17" t="s">
        <v>30</v>
      </c>
      <c r="E27" s="17" t="s">
        <v>25</v>
      </c>
      <c r="F27" s="17" t="s">
        <v>25</v>
      </c>
      <c r="G27" s="18" t="s">
        <v>79</v>
      </c>
      <c r="H27" s="18" t="s">
        <v>73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CUSTOS!$M$25)*2.2601</f>
        <v>2.2601</v>
      </c>
      <c r="Z27" s="13">
        <v>0</v>
      </c>
      <c r="AA27" s="13">
        <v>0</v>
      </c>
      <c r="AB27" s="13"/>
      <c r="AC27" s="13">
        <f>(1 - CUSTOS!$M$25)*201.8137</f>
        <v>201.81370000000001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01"/>
      <c r="B28" s="101"/>
      <c r="C28" s="101"/>
      <c r="D28" s="17" t="s">
        <v>31</v>
      </c>
      <c r="E28" s="17" t="s">
        <v>25</v>
      </c>
      <c r="F28" s="17" t="s">
        <v>25</v>
      </c>
      <c r="G28" s="18" t="s">
        <v>79</v>
      </c>
      <c r="H28" s="18" t="s">
        <v>73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CUSTOS!$M$26)*2.2601</f>
        <v>2.2601</v>
      </c>
      <c r="Z28" s="13">
        <v>0</v>
      </c>
      <c r="AA28" s="13">
        <v>0</v>
      </c>
      <c r="AB28" s="13"/>
      <c r="AC28" s="13">
        <f>(1 - CUSTOS!$M$26)*201.8137</f>
        <v>201.81370000000001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01"/>
      <c r="B29" s="101"/>
      <c r="C29" s="101"/>
      <c r="D29" s="17" t="s">
        <v>32</v>
      </c>
      <c r="E29" s="17" t="s">
        <v>25</v>
      </c>
      <c r="F29" s="17" t="s">
        <v>25</v>
      </c>
      <c r="G29" s="18" t="s">
        <v>79</v>
      </c>
      <c r="H29" s="18" t="s">
        <v>73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CUSTOS!$M$27)*2.2601</f>
        <v>2.2601</v>
      </c>
      <c r="Z29" s="13">
        <v>0</v>
      </c>
      <c r="AA29" s="13">
        <v>0</v>
      </c>
      <c r="AB29" s="13"/>
      <c r="AC29" s="13">
        <f>(1 - CUSTOS!$M$27)*201.8137</f>
        <v>201.81370000000001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01" t="s">
        <v>40</v>
      </c>
      <c r="B30" s="101" t="s">
        <v>87</v>
      </c>
      <c r="C30" s="101" t="s">
        <v>41</v>
      </c>
      <c r="D30" s="101" t="s">
        <v>25</v>
      </c>
      <c r="E30" s="101" t="s">
        <v>25</v>
      </c>
      <c r="F30" s="101" t="s">
        <v>25</v>
      </c>
      <c r="G30" s="18" t="s">
        <v>74</v>
      </c>
      <c r="H30" s="18" t="s">
        <v>73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CUSTOS!$M$28)*7.0066</f>
        <v>7.0065999999999997</v>
      </c>
      <c r="Z30" s="13">
        <v>0</v>
      </c>
      <c r="AA30" s="13">
        <v>0</v>
      </c>
      <c r="AB30" s="13"/>
      <c r="AC30" s="13">
        <f>(1 - CUSTOS!$M$28)*625.6227</f>
        <v>625.62270000000001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01"/>
      <c r="B31" s="101"/>
      <c r="C31" s="101"/>
      <c r="D31" s="101"/>
      <c r="E31" s="101"/>
      <c r="F31" s="101"/>
      <c r="G31" s="18" t="s">
        <v>85</v>
      </c>
      <c r="H31" s="18" t="s">
        <v>73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CUSTOS!$M$28)*4.204</f>
        <v>4.2039999999999997</v>
      </c>
      <c r="Z31" s="13">
        <v>0</v>
      </c>
      <c r="AA31" s="13">
        <v>0</v>
      </c>
      <c r="AB31" s="13"/>
      <c r="AC31" s="13">
        <f>(1 - CUSTOS!$M$28)*375.3736</f>
        <v>375.37360000000001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01"/>
      <c r="B32" s="101"/>
      <c r="C32" s="101"/>
      <c r="D32" s="101"/>
      <c r="E32" s="101"/>
      <c r="F32" s="101"/>
      <c r="G32" s="18" t="s">
        <v>75</v>
      </c>
      <c r="H32" s="18" t="s">
        <v>73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CUSTOS!$M$28)*1.4014</f>
        <v>1.4014</v>
      </c>
      <c r="Z32" s="13">
        <v>0</v>
      </c>
      <c r="AA32" s="13">
        <v>0</v>
      </c>
      <c r="AB32" s="13"/>
      <c r="AC32" s="13">
        <f>(1 - CUSTOS!$M$28)*125.1245</f>
        <v>125.1245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01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79</v>
      </c>
      <c r="H33" s="18" t="s">
        <v>73</v>
      </c>
      <c r="I33" s="18">
        <f>'MERCADO TUSD'!$U$30</f>
        <v>5066.7939999999999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CUSTOS!$M$28)*2.2601</f>
        <v>2.2601</v>
      </c>
      <c r="Z33" s="13">
        <v>0</v>
      </c>
      <c r="AA33" s="13">
        <v>0</v>
      </c>
      <c r="AB33" s="13"/>
      <c r="AC33" s="13">
        <f>(1 - CUSTOS!$M$28)*201.8137</f>
        <v>201.81370000000001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01"/>
      <c r="B34" s="101" t="s">
        <v>87</v>
      </c>
      <c r="C34" s="101" t="s">
        <v>41</v>
      </c>
      <c r="D34" s="101" t="s">
        <v>90</v>
      </c>
      <c r="E34" s="101" t="s">
        <v>25</v>
      </c>
      <c r="F34" s="101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CUSTOS!$M$29)*7.0066</f>
        <v>7.0065999999999997</v>
      </c>
      <c r="Z34" s="13">
        <v>0</v>
      </c>
      <c r="AA34" s="13">
        <v>0</v>
      </c>
      <c r="AB34" s="13"/>
      <c r="AC34" s="13">
        <f>(1 - CUSTOS!$M$29)*625.6227</f>
        <v>625.62270000000001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01"/>
      <c r="B35" s="101"/>
      <c r="C35" s="101"/>
      <c r="D35" s="101"/>
      <c r="E35" s="101"/>
      <c r="F35" s="101"/>
      <c r="G35" s="18" t="s">
        <v>85</v>
      </c>
      <c r="H35" s="18" t="s">
        <v>73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CUSTOS!$M$29)*4.204</f>
        <v>4.2039999999999997</v>
      </c>
      <c r="Z35" s="13">
        <v>0</v>
      </c>
      <c r="AA35" s="13">
        <v>0</v>
      </c>
      <c r="AB35" s="13"/>
      <c r="AC35" s="13">
        <f>(1 - CUSTOS!$M$29)*375.3736</f>
        <v>375.37360000000001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01"/>
      <c r="B36" s="101"/>
      <c r="C36" s="101"/>
      <c r="D36" s="101"/>
      <c r="E36" s="101"/>
      <c r="F36" s="101"/>
      <c r="G36" s="18" t="s">
        <v>75</v>
      </c>
      <c r="H36" s="18" t="s">
        <v>73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CUSTOS!$M$29)*1.4014</f>
        <v>1.4014</v>
      </c>
      <c r="Z36" s="13">
        <v>0</v>
      </c>
      <c r="AA36" s="13">
        <v>0</v>
      </c>
      <c r="AB36" s="13"/>
      <c r="AC36" s="13">
        <f>(1 - CUSTOS!$M$29)*125.1245</f>
        <v>125.1245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01"/>
      <c r="B37" s="17" t="s">
        <v>23</v>
      </c>
      <c r="C37" s="17" t="s">
        <v>41</v>
      </c>
      <c r="D37" s="17" t="s">
        <v>90</v>
      </c>
      <c r="E37" s="17" t="s">
        <v>25</v>
      </c>
      <c r="F37" s="17" t="s">
        <v>25</v>
      </c>
      <c r="G37" s="18" t="s">
        <v>79</v>
      </c>
      <c r="H37" s="18" t="s">
        <v>73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CUSTOS!$M$29)*2.2601</f>
        <v>2.2601</v>
      </c>
      <c r="Z37" s="13">
        <v>0</v>
      </c>
      <c r="AA37" s="13">
        <v>0</v>
      </c>
      <c r="AB37" s="13"/>
      <c r="AC37" s="13">
        <f>(1 - CUSTOS!$M$29)*201.8137</f>
        <v>201.81370000000001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01"/>
      <c r="B38" s="101" t="s">
        <v>87</v>
      </c>
      <c r="C38" s="101" t="s">
        <v>41</v>
      </c>
      <c r="D38" s="101" t="s">
        <v>91</v>
      </c>
      <c r="E38" s="101" t="s">
        <v>25</v>
      </c>
      <c r="F38" s="101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CUSTOS!$M$30)*7.0066</f>
        <v>7.0065999999999997</v>
      </c>
      <c r="Z38" s="13">
        <v>0</v>
      </c>
      <c r="AA38" s="13">
        <v>0</v>
      </c>
      <c r="AB38" s="13"/>
      <c r="AC38" s="13">
        <f>(1 - CUSTOS!$M$30)*625.6227</f>
        <v>625.62270000000001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01"/>
      <c r="B39" s="101"/>
      <c r="C39" s="101"/>
      <c r="D39" s="101"/>
      <c r="E39" s="101"/>
      <c r="F39" s="101"/>
      <c r="G39" s="18" t="s">
        <v>85</v>
      </c>
      <c r="H39" s="18" t="s">
        <v>73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CUSTOS!$M$30)*4.204</f>
        <v>4.2039999999999997</v>
      </c>
      <c r="Z39" s="13">
        <v>0</v>
      </c>
      <c r="AA39" s="13">
        <v>0</v>
      </c>
      <c r="AB39" s="13"/>
      <c r="AC39" s="13">
        <f>(1 - CUSTOS!$M$30)*375.3736</f>
        <v>375.37360000000001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01"/>
      <c r="B40" s="101"/>
      <c r="C40" s="101"/>
      <c r="D40" s="101"/>
      <c r="E40" s="101"/>
      <c r="F40" s="101"/>
      <c r="G40" s="18" t="s">
        <v>75</v>
      </c>
      <c r="H40" s="18" t="s">
        <v>73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CUSTOS!$M$30)*1.4014</f>
        <v>1.4014</v>
      </c>
      <c r="Z40" s="13">
        <v>0</v>
      </c>
      <c r="AA40" s="13">
        <v>0</v>
      </c>
      <c r="AB40" s="13"/>
      <c r="AC40" s="13">
        <f>(1 - CUSTOS!$M$30)*125.1245</f>
        <v>125.1245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01"/>
      <c r="B41" s="17" t="s">
        <v>23</v>
      </c>
      <c r="C41" s="17" t="s">
        <v>41</v>
      </c>
      <c r="D41" s="17" t="s">
        <v>91</v>
      </c>
      <c r="E41" s="17" t="s">
        <v>25</v>
      </c>
      <c r="F41" s="17" t="s">
        <v>25</v>
      </c>
      <c r="G41" s="18" t="s">
        <v>79</v>
      </c>
      <c r="H41" s="18" t="s">
        <v>73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CUSTOS!$M$30)*2.2601</f>
        <v>2.2601</v>
      </c>
      <c r="Z41" s="13">
        <v>0</v>
      </c>
      <c r="AA41" s="13">
        <v>0</v>
      </c>
      <c r="AB41" s="13"/>
      <c r="AC41" s="13">
        <f>(1 - CUSTOS!$M$30)*201.8137</f>
        <v>201.81370000000001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01"/>
      <c r="B42" s="101" t="s">
        <v>89</v>
      </c>
      <c r="C42" s="101" t="s">
        <v>41</v>
      </c>
      <c r="D42" s="17" t="s">
        <v>25</v>
      </c>
      <c r="E42" s="17" t="s">
        <v>25</v>
      </c>
      <c r="F42" s="17" t="s">
        <v>25</v>
      </c>
      <c r="G42" s="18" t="s">
        <v>79</v>
      </c>
      <c r="H42" s="18" t="s">
        <v>73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CUSTOS!$M$28)*2.2601</f>
        <v>2.2601</v>
      </c>
      <c r="Z42" s="13">
        <v>0</v>
      </c>
      <c r="AA42" s="13">
        <v>0</v>
      </c>
      <c r="AB42" s="13"/>
      <c r="AC42" s="13">
        <f>(1 - CUSTOS!$M$28)*201.8137</f>
        <v>201.81370000000001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01"/>
      <c r="B43" s="101"/>
      <c r="C43" s="101"/>
      <c r="D43" s="17" t="s">
        <v>90</v>
      </c>
      <c r="E43" s="17" t="s">
        <v>25</v>
      </c>
      <c r="F43" s="17" t="s">
        <v>25</v>
      </c>
      <c r="G43" s="18" t="s">
        <v>79</v>
      </c>
      <c r="H43" s="18" t="s">
        <v>73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CUSTOS!$M$29)*2.2601</f>
        <v>2.2601</v>
      </c>
      <c r="Z43" s="13">
        <v>0</v>
      </c>
      <c r="AA43" s="13">
        <v>0</v>
      </c>
      <c r="AB43" s="13"/>
      <c r="AC43" s="13">
        <f>(1 - CUSTOS!$M$29)*201.8137</f>
        <v>201.81370000000001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01"/>
      <c r="B44" s="101"/>
      <c r="C44" s="101"/>
      <c r="D44" s="17" t="s">
        <v>91</v>
      </c>
      <c r="E44" s="17" t="s">
        <v>25</v>
      </c>
      <c r="F44" s="17" t="s">
        <v>25</v>
      </c>
      <c r="G44" s="18" t="s">
        <v>79</v>
      </c>
      <c r="H44" s="18" t="s">
        <v>73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CUSTOS!$M$30)*2.2601</f>
        <v>2.2601</v>
      </c>
      <c r="Z44" s="13">
        <v>0</v>
      </c>
      <c r="AA44" s="13">
        <v>0</v>
      </c>
      <c r="AB44" s="13"/>
      <c r="AC44" s="13">
        <f>(1 - CUSTOS!$M$30)*201.8137</f>
        <v>201.81370000000001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01" t="s">
        <v>33</v>
      </c>
      <c r="B45" s="101" t="s">
        <v>87</v>
      </c>
      <c r="C45" s="101" t="s">
        <v>25</v>
      </c>
      <c r="D45" s="101" t="s">
        <v>25</v>
      </c>
      <c r="E45" s="101" t="s">
        <v>25</v>
      </c>
      <c r="F45" s="101" t="s">
        <v>25</v>
      </c>
      <c r="G45" s="18" t="s">
        <v>74</v>
      </c>
      <c r="H45" s="18" t="s">
        <v>73</v>
      </c>
      <c r="I45" s="18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CUSTOS!$M$31)*7.2325</f>
        <v>7.2324999999999999</v>
      </c>
      <c r="Z45" s="13">
        <v>0</v>
      </c>
      <c r="AA45" s="13">
        <v>0</v>
      </c>
      <c r="AB45" s="13"/>
      <c r="AC45" s="13">
        <f>(1 - CUSTOS!$M$31)*645.804</f>
        <v>645.80399999999997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01"/>
      <c r="B46" s="101"/>
      <c r="C46" s="101"/>
      <c r="D46" s="101"/>
      <c r="E46" s="101"/>
      <c r="F46" s="101"/>
      <c r="G46" s="18" t="s">
        <v>85</v>
      </c>
      <c r="H46" s="18" t="s">
        <v>73</v>
      </c>
      <c r="I46" s="18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CUSTOS!$M$31)*4.3396</f>
        <v>4.3395999999999999</v>
      </c>
      <c r="Z46" s="13">
        <v>0</v>
      </c>
      <c r="AA46" s="13">
        <v>0</v>
      </c>
      <c r="AB46" s="13"/>
      <c r="AC46" s="13">
        <f>(1 - CUSTOS!$M$31)*387.4824</f>
        <v>387.48239999999998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01"/>
      <c r="B47" s="101"/>
      <c r="C47" s="101"/>
      <c r="D47" s="101"/>
      <c r="E47" s="101"/>
      <c r="F47" s="101"/>
      <c r="G47" s="18" t="s">
        <v>75</v>
      </c>
      <c r="H47" s="18" t="s">
        <v>73</v>
      </c>
      <c r="I47" s="18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CUSTOS!$M$31)*1.4465</f>
        <v>1.4464999999999999</v>
      </c>
      <c r="Z47" s="13">
        <v>0</v>
      </c>
      <c r="AA47" s="13">
        <v>0</v>
      </c>
      <c r="AB47" s="13"/>
      <c r="AC47" s="13">
        <f>(1 - CUSTOS!$M$31)*129.1608</f>
        <v>129.16079999999999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01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79</v>
      </c>
      <c r="H48" s="18" t="s">
        <v>73</v>
      </c>
      <c r="I48" s="18">
        <f>'MERCADO TUSD'!$U$45</f>
        <v>2202.5430000000001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CUSTOS!$M$31)*2.2601</f>
        <v>2.2601</v>
      </c>
      <c r="Z48" s="13">
        <v>0</v>
      </c>
      <c r="AA48" s="13">
        <v>0</v>
      </c>
      <c r="AB48" s="13"/>
      <c r="AC48" s="13">
        <f>(1 - CUSTOS!$M$31)*201.8137</f>
        <v>201.81370000000001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01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79</v>
      </c>
      <c r="H49" s="18" t="s">
        <v>73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CUSTOS!$M$31)*2.2601</f>
        <v>2.2601</v>
      </c>
      <c r="Z49" s="13">
        <v>0</v>
      </c>
      <c r="AA49" s="13">
        <v>0</v>
      </c>
      <c r="AB49" s="13"/>
      <c r="AC49" s="13">
        <f>(1 - CUSTOS!$M$31)*201.8137</f>
        <v>201.81370000000001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01" t="s">
        <v>43</v>
      </c>
      <c r="B50" s="101" t="s">
        <v>23</v>
      </c>
      <c r="C50" s="101" t="s">
        <v>44</v>
      </c>
      <c r="D50" s="17" t="s">
        <v>45</v>
      </c>
      <c r="E50" s="17" t="s">
        <v>25</v>
      </c>
      <c r="F50" s="17" t="s">
        <v>25</v>
      </c>
      <c r="G50" s="18" t="s">
        <v>79</v>
      </c>
      <c r="H50" s="18" t="s">
        <v>73</v>
      </c>
      <c r="I50" s="18">
        <f>'MERCADO TUSD'!$U$47</f>
        <v>786.13800000000003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CUSTOS!$M$32)*2.2601</f>
        <v>1.243055</v>
      </c>
      <c r="Z50" s="13">
        <v>0</v>
      </c>
      <c r="AA50" s="13">
        <v>0</v>
      </c>
      <c r="AB50" s="13"/>
      <c r="AC50" s="13">
        <f>(1 - CUSTOS!$M$32)*201.8137</f>
        <v>110.99753500000001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01"/>
      <c r="B51" s="101"/>
      <c r="C51" s="101"/>
      <c r="D51" s="18" t="s">
        <v>46</v>
      </c>
      <c r="E51" s="18" t="s">
        <v>25</v>
      </c>
      <c r="F51" s="18" t="s">
        <v>25</v>
      </c>
      <c r="G51" s="18" t="s">
        <v>79</v>
      </c>
      <c r="H51" s="18" t="s">
        <v>73</v>
      </c>
      <c r="I51" s="18">
        <f>'MERCADO TUSD'!$U$48</f>
        <v>25.399000000000001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CUSTOS!$M$33)*2.2601</f>
        <v>1.35606</v>
      </c>
      <c r="Z51" s="13">
        <v>0</v>
      </c>
      <c r="AA51" s="13">
        <v>0</v>
      </c>
      <c r="AB51" s="13"/>
      <c r="AC51" s="13">
        <f>(1 - CUSTOS!$M$33)*201.8137</f>
        <v>121.08822000000001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555-7B23-4CA6-9302-169D6AE02497}">
  <dimension ref="A1:AP70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9.285156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2" t="s">
        <v>63</v>
      </c>
      <c r="B1" s="102" t="s">
        <v>64</v>
      </c>
      <c r="C1" s="102" t="s">
        <v>65</v>
      </c>
      <c r="D1" s="102" t="s">
        <v>66</v>
      </c>
      <c r="E1" s="102" t="s">
        <v>67</v>
      </c>
      <c r="F1" s="102" t="s">
        <v>15</v>
      </c>
      <c r="G1" s="102" t="s">
        <v>69</v>
      </c>
      <c r="H1" s="102" t="s">
        <v>70</v>
      </c>
      <c r="I1" s="102" t="s">
        <v>512</v>
      </c>
      <c r="J1" s="95"/>
      <c r="L1" s="103" t="s">
        <v>513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P1" s="103" t="s">
        <v>514</v>
      </c>
    </row>
    <row r="2" spans="1:42" ht="11.2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95"/>
      <c r="L2" s="103" t="s">
        <v>411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P2" s="104"/>
    </row>
    <row r="3" spans="1:42" ht="11.2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95"/>
      <c r="L3" s="103" t="s">
        <v>412</v>
      </c>
      <c r="M3" s="103"/>
      <c r="N3" s="103"/>
      <c r="O3" s="103"/>
      <c r="P3" s="103"/>
      <c r="Q3" s="103"/>
      <c r="R3" s="103"/>
      <c r="S3" s="103"/>
      <c r="T3" s="103"/>
      <c r="U3" s="103" t="s">
        <v>421</v>
      </c>
      <c r="V3" s="103"/>
      <c r="W3" s="103"/>
      <c r="X3" s="103"/>
      <c r="Y3" s="103"/>
      <c r="Z3" s="103"/>
      <c r="AA3" s="103"/>
      <c r="AB3" s="103"/>
      <c r="AC3" s="103" t="s">
        <v>429</v>
      </c>
      <c r="AD3" s="103"/>
      <c r="AE3" s="103" t="s">
        <v>431</v>
      </c>
      <c r="AF3" s="103"/>
      <c r="AG3" s="103"/>
      <c r="AH3" s="103" t="s">
        <v>434</v>
      </c>
      <c r="AI3" s="103"/>
      <c r="AJ3" s="103"/>
      <c r="AK3" s="103"/>
      <c r="AL3" s="103"/>
      <c r="AM3" s="103" t="s">
        <v>420</v>
      </c>
      <c r="AP3" s="104"/>
    </row>
    <row r="4" spans="1:42" ht="11.2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95"/>
      <c r="L4" s="10" t="s">
        <v>497</v>
      </c>
      <c r="M4" s="10" t="s">
        <v>413</v>
      </c>
      <c r="N4" s="10" t="s">
        <v>414</v>
      </c>
      <c r="O4" s="10" t="s">
        <v>415</v>
      </c>
      <c r="P4" s="10" t="s">
        <v>416</v>
      </c>
      <c r="Q4" s="10" t="s">
        <v>417</v>
      </c>
      <c r="R4" s="10" t="s">
        <v>418</v>
      </c>
      <c r="S4" s="10" t="s">
        <v>419</v>
      </c>
      <c r="T4" s="10" t="s">
        <v>420</v>
      </c>
      <c r="U4" s="10" t="s">
        <v>422</v>
      </c>
      <c r="V4" s="10" t="s">
        <v>423</v>
      </c>
      <c r="W4" s="10" t="s">
        <v>424</v>
      </c>
      <c r="X4" s="10" t="s">
        <v>425</v>
      </c>
      <c r="Y4" s="10" t="s">
        <v>426</v>
      </c>
      <c r="Z4" s="10" t="s">
        <v>427</v>
      </c>
      <c r="AA4" s="10" t="s">
        <v>428</v>
      </c>
      <c r="AB4" s="10" t="s">
        <v>420</v>
      </c>
      <c r="AC4" s="10" t="s">
        <v>430</v>
      </c>
      <c r="AD4" s="10" t="s">
        <v>420</v>
      </c>
      <c r="AE4" s="10" t="s">
        <v>432</v>
      </c>
      <c r="AF4" s="10" t="s">
        <v>433</v>
      </c>
      <c r="AG4" s="10" t="s">
        <v>420</v>
      </c>
      <c r="AH4" s="10" t="s">
        <v>435</v>
      </c>
      <c r="AI4" s="10" t="s">
        <v>436</v>
      </c>
      <c r="AJ4" s="10" t="s">
        <v>437</v>
      </c>
      <c r="AK4" s="10" t="s">
        <v>438</v>
      </c>
      <c r="AL4" s="10" t="s">
        <v>420</v>
      </c>
      <c r="AM4" s="105"/>
      <c r="AP4" s="104"/>
    </row>
    <row r="5" spans="1:42" ht="11.25" customHeight="1" x14ac:dyDescent="0.25">
      <c r="A5" s="101" t="s">
        <v>35</v>
      </c>
      <c r="B5" s="101" t="s">
        <v>54</v>
      </c>
      <c r="C5" s="101" t="s">
        <v>25</v>
      </c>
      <c r="D5" s="101" t="s">
        <v>25</v>
      </c>
      <c r="E5" s="101" t="s">
        <v>25</v>
      </c>
      <c r="F5" s="101" t="s">
        <v>25</v>
      </c>
      <c r="G5" s="18" t="s">
        <v>77</v>
      </c>
      <c r="H5" s="18" t="s">
        <v>76</v>
      </c>
      <c r="I5" s="18">
        <f>'MERCADO TUSD'!$U$2</f>
        <v>1044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0.62749999999999995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56.802399999999999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101"/>
      <c r="B6" s="101"/>
      <c r="C6" s="101"/>
      <c r="D6" s="101"/>
      <c r="E6" s="101"/>
      <c r="F6" s="101"/>
      <c r="G6" s="18" t="s">
        <v>78</v>
      </c>
      <c r="H6" s="18" t="s">
        <v>76</v>
      </c>
      <c r="I6" s="18">
        <f>'MERCADO TUSD'!$U$3</f>
        <v>1080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0.28589999999999999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14.371600000000001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101"/>
      <c r="B7" s="101"/>
      <c r="C7" s="101"/>
      <c r="D7" s="101"/>
      <c r="E7" s="101"/>
      <c r="F7" s="101"/>
      <c r="G7" s="18" t="s">
        <v>79</v>
      </c>
      <c r="H7" s="18" t="s">
        <v>73</v>
      </c>
      <c r="I7" s="18">
        <f>'MERCADO TUSD'!$U$4</f>
        <v>562.31000000000006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0.84391609509950749</v>
      </c>
      <c r="N7" s="13">
        <f ca="1">(+M7+O7+R7+U7+V7+W7+X7+Y7+Z7+AA7+AC7+AH7+AI7+AJ7+AK7)*CUSTOS!$M$5</f>
        <v>1.5298216095099508E-13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12.1487</v>
      </c>
      <c r="AI7" s="13">
        <v>0.30559999999999998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101"/>
      <c r="B8" s="101"/>
      <c r="C8" s="101"/>
      <c r="D8" s="101"/>
      <c r="E8" s="17" t="s">
        <v>80</v>
      </c>
      <c r="F8" s="17" t="s">
        <v>25</v>
      </c>
      <c r="G8" s="18" t="s">
        <v>79</v>
      </c>
      <c r="H8" s="18" t="s">
        <v>73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0.84391609509950749</v>
      </c>
      <c r="N8" s="13">
        <f ca="1">(+M8+O8+R8+U8+V8+W8+X8+Y8+Z8+AA8+AC8+AH8+AI8+AJ8+AK8)*CUSTOS!$M$5</f>
        <v>1.4298216095099507E-13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12.1487</v>
      </c>
      <c r="AI8" s="13">
        <v>0.30559999999999998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101"/>
      <c r="B9" s="17" t="s">
        <v>81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76</v>
      </c>
      <c r="I9" s="18">
        <f>'MERCADO TUSD'!$U$6</f>
        <v>0</v>
      </c>
      <c r="J9" s="15"/>
      <c r="L9" s="13">
        <v>0</v>
      </c>
      <c r="M9" s="13">
        <v>2.9899999999999999E-2</v>
      </c>
      <c r="N9" s="13">
        <f>0.1472</f>
        <v>0.1472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13.5806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101"/>
      <c r="B10" s="101" t="s">
        <v>36</v>
      </c>
      <c r="C10" s="101" t="s">
        <v>25</v>
      </c>
      <c r="D10" s="101" t="s">
        <v>25</v>
      </c>
      <c r="E10" s="101" t="s">
        <v>25</v>
      </c>
      <c r="F10" s="101" t="s">
        <v>25</v>
      </c>
      <c r="G10" s="18" t="s">
        <v>9</v>
      </c>
      <c r="H10" s="18" t="s">
        <v>76</v>
      </c>
      <c r="I10" s="18">
        <f>'MERCADO TUSD'!$U$7</f>
        <v>111678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0.28589999999999999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14.371600000000001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101"/>
      <c r="B11" s="101"/>
      <c r="C11" s="101"/>
      <c r="D11" s="101"/>
      <c r="E11" s="101"/>
      <c r="F11" s="101"/>
      <c r="G11" s="18" t="s">
        <v>74</v>
      </c>
      <c r="H11" s="18" t="s">
        <v>73</v>
      </c>
      <c r="I11" s="18">
        <f>'MERCADO TUSD'!$U$8</f>
        <v>724.46799999999996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0.84391609509950749</v>
      </c>
      <c r="N11" s="13">
        <f ca="1">(+M11+O11+R11+U11+V11+W11+X11+Y11+Z11+AA11+AC11+AH11+AI11+AJ11+AK11)*CUSTOS!$M$5</f>
        <v>1.3964871160950993E-11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15.0899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1366.0989999999999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12.1487</v>
      </c>
      <c r="AI11" s="13">
        <v>0.30559999999999998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101"/>
      <c r="B12" s="101"/>
      <c r="C12" s="101"/>
      <c r="D12" s="101"/>
      <c r="E12" s="101"/>
      <c r="F12" s="101"/>
      <c r="G12" s="18" t="s">
        <v>75</v>
      </c>
      <c r="H12" s="18" t="s">
        <v>73</v>
      </c>
      <c r="I12" s="18">
        <f>'MERCADO TUSD'!$U$9</f>
        <v>19056.422999999999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0.84391609509950749</v>
      </c>
      <c r="N12" s="13">
        <f ca="1">(+M12+O12+R12+U12+V12+W12+X12+Y12+Z12+AA12+AC12+AH12+AI12+AJ12+AK12)*CUSTOS!$M$5</f>
        <v>1.5298216095099508E-13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12.1487</v>
      </c>
      <c r="AI12" s="13">
        <v>0.30559999999999998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101"/>
      <c r="B13" s="101"/>
      <c r="C13" s="101"/>
      <c r="D13" s="101"/>
      <c r="E13" s="101" t="s">
        <v>80</v>
      </c>
      <c r="F13" s="101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0.84391609509950749</v>
      </c>
      <c r="N13" s="13">
        <f ca="1">(+M13+O13+R13+U13+V13+W13+X13+Y13+Z13+AA13+AC13+AH13+AI13+AJ13+AK13)*CUSTOS!$M$5</f>
        <v>1.3954871160950993E-11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15.0899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1366.0989999999999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12.1487</v>
      </c>
      <c r="AI13" s="13">
        <v>0.30559999999999998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101"/>
      <c r="B14" s="101"/>
      <c r="C14" s="101"/>
      <c r="D14" s="101"/>
      <c r="E14" s="101"/>
      <c r="F14" s="101"/>
      <c r="G14" s="18" t="s">
        <v>75</v>
      </c>
      <c r="H14" s="18" t="s">
        <v>73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0.84391609509950749</v>
      </c>
      <c r="N14" s="13">
        <f ca="1">(+M14+O14+R14+U14+V14+W14+X14+Y14+Z14+AA14+AC14+AH14+AI14+AJ14+AK14)*CUSTOS!$M$5</f>
        <v>1.4298216095099507E-13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12.1487</v>
      </c>
      <c r="AI14" s="13">
        <v>0.30559999999999998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101" t="s">
        <v>82</v>
      </c>
      <c r="B15" s="101" t="s">
        <v>81</v>
      </c>
      <c r="C15" s="101" t="s">
        <v>25</v>
      </c>
      <c r="D15" s="101" t="s">
        <v>25</v>
      </c>
      <c r="E15" s="17" t="s">
        <v>83</v>
      </c>
      <c r="F15" s="17" t="s">
        <v>25</v>
      </c>
      <c r="G15" s="18" t="s">
        <v>9</v>
      </c>
      <c r="H15" s="18" t="s">
        <v>76</v>
      </c>
      <c r="I15" s="18">
        <f>'MERCADO TUSD'!$U$12+0.00000001</f>
        <v>1E-8</v>
      </c>
      <c r="J15" s="15"/>
      <c r="L15" s="13">
        <v>0</v>
      </c>
      <c r="M15" s="13">
        <v>5.1000000000000004E-3</v>
      </c>
      <c r="N15" s="13">
        <f>0.0251</f>
        <v>2.5100000000000001E-2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2.5666000000000002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101"/>
      <c r="B16" s="101"/>
      <c r="C16" s="101"/>
      <c r="D16" s="101"/>
      <c r="E16" s="17" t="s">
        <v>84</v>
      </c>
      <c r="F16" s="17" t="s">
        <v>25</v>
      </c>
      <c r="G16" s="18" t="s">
        <v>9</v>
      </c>
      <c r="H16" s="18" t="s">
        <v>76</v>
      </c>
      <c r="I16" s="18">
        <f>'MERCADO TUSD'!$U$13+0.00000001</f>
        <v>1E-8</v>
      </c>
      <c r="J16" s="15"/>
      <c r="L16" s="13">
        <v>0</v>
      </c>
      <c r="M16" s="13">
        <v>5.1000000000000004E-3</v>
      </c>
      <c r="N16" s="13">
        <f>0.0251</f>
        <v>2.5100000000000001E-2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14.143700000000001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101" t="s">
        <v>22</v>
      </c>
      <c r="B17" s="101" t="s">
        <v>87</v>
      </c>
      <c r="C17" s="101" t="s">
        <v>24</v>
      </c>
      <c r="D17" s="101" t="s">
        <v>24</v>
      </c>
      <c r="E17" s="101" t="s">
        <v>25</v>
      </c>
      <c r="F17" s="101" t="s">
        <v>25</v>
      </c>
      <c r="G17" s="18" t="s">
        <v>74</v>
      </c>
      <c r="H17" s="18" t="s">
        <v>73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1.2978895015410732</v>
      </c>
      <c r="N17" s="13">
        <f ca="1">(+M17+O17+R17+U17+V17+W17+X17+Y17+Z17+AA17+AC17+AH17+AI17+AJ17+AK17)*CUSTOS!$M$5</f>
        <v>6.3053178950154109E-12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6.5545999999999998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585.25990000000002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34.550400000000003</v>
      </c>
      <c r="AI17" s="13">
        <v>0.86899999999999999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101"/>
      <c r="B18" s="101"/>
      <c r="C18" s="101"/>
      <c r="D18" s="101"/>
      <c r="E18" s="101"/>
      <c r="F18" s="101"/>
      <c r="G18" s="18" t="s">
        <v>85</v>
      </c>
      <c r="H18" s="18" t="s">
        <v>73</v>
      </c>
      <c r="I18" s="18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1.2978895015410732</v>
      </c>
      <c r="N18" s="13">
        <f ca="1">(+M18+O18+R18+U18+V18+W18+X18+Y18+Z18+AA18+AC18+AH18+AI18+AJ18+AK18)*CUSTOS!$M$5</f>
        <v>3.9380588950154109E-12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3.9327000000000001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351.15589999999997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34.550400000000003</v>
      </c>
      <c r="AI18" s="13">
        <v>0.86899999999999999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101"/>
      <c r="B19" s="101"/>
      <c r="C19" s="101"/>
      <c r="D19" s="101"/>
      <c r="E19" s="101"/>
      <c r="F19" s="101"/>
      <c r="G19" s="18" t="s">
        <v>75</v>
      </c>
      <c r="H19" s="18" t="s">
        <v>73</v>
      </c>
      <c r="I19" s="18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1.2978895015410732</v>
      </c>
      <c r="N19" s="13">
        <f ca="1">(+M19+O19+R19+U19+V19+W19+X19+Y19+Z19+AA19+AC19+AH19+AI19+AJ19+AK19)*CUSTOS!$M$5</f>
        <v>1.5708008950154107E-12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1.3109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117.0519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34.550400000000003</v>
      </c>
      <c r="AI19" s="13">
        <v>0.86899999999999999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101"/>
      <c r="B20" s="101" t="s">
        <v>23</v>
      </c>
      <c r="C20" s="101" t="s">
        <v>24</v>
      </c>
      <c r="D20" s="17" t="s">
        <v>24</v>
      </c>
      <c r="E20" s="17" t="s">
        <v>25</v>
      </c>
      <c r="F20" s="17" t="s">
        <v>25</v>
      </c>
      <c r="G20" s="18" t="s">
        <v>79</v>
      </c>
      <c r="H20" s="18" t="s">
        <v>73</v>
      </c>
      <c r="I20" s="18">
        <f>'MERCADO TUSD'!$U$17</f>
        <v>6839.3490000000002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1.2978895015410732</v>
      </c>
      <c r="N20" s="13">
        <f ca="1">(+M20+O20+R20+U20+V20+W20+X20+Y20+Z20+AA20+AC20+AH20+AI20+AJ20+AK20)*CUSTOS!$M$5</f>
        <v>2.4279108950154109E-12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2.2601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201.81370000000001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34.550400000000003</v>
      </c>
      <c r="AI20" s="13">
        <v>0.86899999999999999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101"/>
      <c r="B21" s="101"/>
      <c r="C21" s="101"/>
      <c r="D21" s="17" t="s">
        <v>29</v>
      </c>
      <c r="E21" s="17" t="s">
        <v>25</v>
      </c>
      <c r="F21" s="17" t="s">
        <v>25</v>
      </c>
      <c r="G21" s="18" t="s">
        <v>79</v>
      </c>
      <c r="H21" s="18" t="s">
        <v>73</v>
      </c>
      <c r="I21" s="18">
        <f>'MERCADO TUSD'!$U$18</f>
        <v>69.570000000000007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1.2978895015410732</v>
      </c>
      <c r="N21" s="13">
        <f ca="1">(+M21+O21+R21+U21+V21+W21+X21+Y21+Z21+AA21+AC21+AH21+AI21+AJ21+AK21)*CUSTOS!$M$5</f>
        <v>2.4179108950154107E-12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2.2601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201.81370000000001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CUSTOS!$M$24)*34.5504</f>
        <v>34.550400000000003</v>
      </c>
      <c r="AI21" s="13">
        <f>(1 - CUSTOS!$M$24)*0.869</f>
        <v>0.86899999999999999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01"/>
      <c r="B22" s="101"/>
      <c r="C22" s="101"/>
      <c r="D22" s="17" t="s">
        <v>30</v>
      </c>
      <c r="E22" s="17" t="s">
        <v>25</v>
      </c>
      <c r="F22" s="17" t="s">
        <v>25</v>
      </c>
      <c r="G22" s="18" t="s">
        <v>79</v>
      </c>
      <c r="H22" s="18" t="s">
        <v>73</v>
      </c>
      <c r="I22" s="18">
        <f>'MERCADO TUSD'!$U$19</f>
        <v>149.51999999999998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1.2978895015410732</v>
      </c>
      <c r="N22" s="13">
        <f ca="1">(+M22+O22+R22+U22+V22+W22+X22+Y22+Z22+AA22+AC22+AH22+AI22+AJ22+AK22)*CUSTOS!$M$5</f>
        <v>2.4179108950154107E-12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2.2601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201.81370000000001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CUSTOS!$M$25)*34.5504</f>
        <v>34.550400000000003</v>
      </c>
      <c r="AI22" s="13">
        <f>(1 - CUSTOS!$M$25)*0.869</f>
        <v>0.86899999999999999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01"/>
      <c r="B23" s="101"/>
      <c r="C23" s="101"/>
      <c r="D23" s="17" t="s">
        <v>31</v>
      </c>
      <c r="E23" s="17" t="s">
        <v>25</v>
      </c>
      <c r="F23" s="17" t="s">
        <v>25</v>
      </c>
      <c r="G23" s="18" t="s">
        <v>79</v>
      </c>
      <c r="H23" s="18" t="s">
        <v>73</v>
      </c>
      <c r="I23" s="18">
        <f>'MERCADO TUSD'!$U$20</f>
        <v>134.06700000000001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1.2978895015410732</v>
      </c>
      <c r="N23" s="13">
        <f ca="1">(+M23+O23+R23+U23+V23+W23+X23+Y23+Z23+AA23+AC23+AH23+AI23+AJ23+AK23)*CUSTOS!$M$5</f>
        <v>2.4179108950154107E-12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2.2601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201.81370000000001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CUSTOS!$M$26)*34.5504</f>
        <v>34.550400000000003</v>
      </c>
      <c r="AI23" s="13">
        <f>(1 - CUSTOS!$M$26)*0.869</f>
        <v>0.86899999999999999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01"/>
      <c r="B24" s="101"/>
      <c r="C24" s="101"/>
      <c r="D24" s="17" t="s">
        <v>32</v>
      </c>
      <c r="E24" s="17" t="s">
        <v>25</v>
      </c>
      <c r="F24" s="17" t="s">
        <v>25</v>
      </c>
      <c r="G24" s="18" t="s">
        <v>79</v>
      </c>
      <c r="H24" s="18" t="s">
        <v>73</v>
      </c>
      <c r="I24" s="18">
        <f>'MERCADO TUSD'!$U$21</f>
        <v>36.650999999999996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1.2978895015410732</v>
      </c>
      <c r="N24" s="13">
        <f ca="1">(+M24+O24+R24+U24+V24+W24+X24+Y24+Z24+AA24+AC24+AH24+AI24+AJ24+AK24)*CUSTOS!$M$5</f>
        <v>2.4179108950154107E-12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2.2601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201.81370000000001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CUSTOS!$M$27)*34.5504</f>
        <v>34.550400000000003</v>
      </c>
      <c r="AI24" s="13">
        <f>(1 - CUSTOS!$M$27)*0.869</f>
        <v>0.86899999999999999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01"/>
      <c r="B25" s="101" t="s">
        <v>89</v>
      </c>
      <c r="C25" s="101" t="s">
        <v>24</v>
      </c>
      <c r="D25" s="17" t="s">
        <v>24</v>
      </c>
      <c r="E25" s="17" t="s">
        <v>25</v>
      </c>
      <c r="F25" s="17" t="s">
        <v>25</v>
      </c>
      <c r="G25" s="18" t="s">
        <v>79</v>
      </c>
      <c r="H25" s="18" t="s">
        <v>73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1.2978895015410732</v>
      </c>
      <c r="N25" s="13">
        <f ca="1">(+M25+O25+R25+U25+V25+W25+X25+Y25+Z25+AA25+AC25+AH25+AI25+AJ25+AK25)*CUSTOS!$M$5</f>
        <v>2.4279108950154109E-12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2.2601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201.81370000000001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34.550400000000003</v>
      </c>
      <c r="AI25" s="13">
        <v>0.86899999999999999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101"/>
      <c r="B26" s="101"/>
      <c r="C26" s="101"/>
      <c r="D26" s="17" t="s">
        <v>29</v>
      </c>
      <c r="E26" s="17" t="s">
        <v>25</v>
      </c>
      <c r="F26" s="17" t="s">
        <v>25</v>
      </c>
      <c r="G26" s="18" t="s">
        <v>79</v>
      </c>
      <c r="H26" s="18" t="s">
        <v>73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1.2978895015410732</v>
      </c>
      <c r="N26" s="13">
        <f ca="1">(+M26+O26+R26+U26+V26+W26+X26+Y26+Z26+AA26+AC26+AH26+AI26+AJ26+AK26)*CUSTOS!$M$5</f>
        <v>2.4179108950154107E-12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2.2601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201.81370000000001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CUSTOS!$M$24)*34.5504</f>
        <v>34.550400000000003</v>
      </c>
      <c r="AI26" s="13">
        <f>(1 - CUSTOS!$M$24)*0.869</f>
        <v>0.86899999999999999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01"/>
      <c r="B27" s="101"/>
      <c r="C27" s="101"/>
      <c r="D27" s="17" t="s">
        <v>30</v>
      </c>
      <c r="E27" s="17" t="s">
        <v>25</v>
      </c>
      <c r="F27" s="17" t="s">
        <v>25</v>
      </c>
      <c r="G27" s="18" t="s">
        <v>79</v>
      </c>
      <c r="H27" s="18" t="s">
        <v>73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1.2978895015410732</v>
      </c>
      <c r="N27" s="13">
        <f ca="1">(+M27+O27+R27+U27+V27+W27+X27+Y27+Z27+AA27+AC27+AH27+AI27+AJ27+AK27)*CUSTOS!$M$5</f>
        <v>2.4179108950154107E-12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2.2601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201.81370000000001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CUSTOS!$M$25)*34.5504</f>
        <v>34.550400000000003</v>
      </c>
      <c r="AI27" s="13">
        <f>(1 - CUSTOS!$M$25)*0.869</f>
        <v>0.86899999999999999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01"/>
      <c r="B28" s="101"/>
      <c r="C28" s="101"/>
      <c r="D28" s="17" t="s">
        <v>31</v>
      </c>
      <c r="E28" s="17" t="s">
        <v>25</v>
      </c>
      <c r="F28" s="17" t="s">
        <v>25</v>
      </c>
      <c r="G28" s="18" t="s">
        <v>79</v>
      </c>
      <c r="H28" s="18" t="s">
        <v>73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1.2978895015410732</v>
      </c>
      <c r="N28" s="13">
        <f ca="1">(+M28+O28+R28+U28+V28+W28+X28+Y28+Z28+AA28+AC28+AH28+AI28+AJ28+AK28)*CUSTOS!$M$5</f>
        <v>2.4179108950154107E-12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2.2601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201.81370000000001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CUSTOS!$M$26)*34.5504</f>
        <v>34.550400000000003</v>
      </c>
      <c r="AI28" s="13">
        <f>(1 - CUSTOS!$M$26)*0.869</f>
        <v>0.86899999999999999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01"/>
      <c r="B29" s="101"/>
      <c r="C29" s="101"/>
      <c r="D29" s="17" t="s">
        <v>32</v>
      </c>
      <c r="E29" s="17" t="s">
        <v>25</v>
      </c>
      <c r="F29" s="17" t="s">
        <v>25</v>
      </c>
      <c r="G29" s="18" t="s">
        <v>79</v>
      </c>
      <c r="H29" s="18" t="s">
        <v>73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1.2978895015410732</v>
      </c>
      <c r="N29" s="13">
        <f ca="1">(+M29+O29+R29+U29+V29+W29+X29+Y29+Z29+AA29+AC29+AH29+AI29+AJ29+AK29)*CUSTOS!$M$5</f>
        <v>2.4179108950154107E-12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2.2601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201.81370000000001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CUSTOS!$M$27)*34.5504</f>
        <v>34.550400000000003</v>
      </c>
      <c r="AI29" s="13">
        <f>(1 - CUSTOS!$M$27)*0.869</f>
        <v>0.86899999999999999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01" t="s">
        <v>40</v>
      </c>
      <c r="B30" s="101" t="s">
        <v>87</v>
      </c>
      <c r="C30" s="101" t="s">
        <v>41</v>
      </c>
      <c r="D30" s="101" t="s">
        <v>25</v>
      </c>
      <c r="E30" s="101" t="s">
        <v>25</v>
      </c>
      <c r="F30" s="101" t="s">
        <v>25</v>
      </c>
      <c r="G30" s="18" t="s">
        <v>74</v>
      </c>
      <c r="H30" s="18" t="s">
        <v>73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1.2978895015410732</v>
      </c>
      <c r="N30" s="13">
        <f ca="1">(+M30+O30+R30+U30+V30+W30+X30+Y30+Z30+AA30+AC30+AH30+AI30+AJ30+AK30)*CUSTOS!$M$5</f>
        <v>6.7134658950154106E-12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7.0065999999999997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625.62270000000001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CUSTOS!$M$28)*34.5504</f>
        <v>34.550400000000003</v>
      </c>
      <c r="AI30" s="13">
        <f>(1 - CUSTOS!$M$28)*0.869</f>
        <v>0.86899999999999999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01"/>
      <c r="B31" s="101"/>
      <c r="C31" s="101"/>
      <c r="D31" s="101"/>
      <c r="E31" s="101"/>
      <c r="F31" s="101"/>
      <c r="G31" s="18" t="s">
        <v>85</v>
      </c>
      <c r="H31" s="18" t="s">
        <v>73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1.2978895015410732</v>
      </c>
      <c r="N31" s="13">
        <f ca="1">(+M31+O31+R31+U31+V31+W31+X31+Y31+Z31+AA31+AC31+AH31+AI31+AJ31+AK31)*CUSTOS!$M$5</f>
        <v>4.1829488950154119E-12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4.2039999999999997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375.37360000000001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CUSTOS!$M$28)*34.5504</f>
        <v>34.550400000000003</v>
      </c>
      <c r="AI31" s="13">
        <f>(1 - CUSTOS!$M$28)*0.869</f>
        <v>0.86899999999999999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01"/>
      <c r="B32" s="101"/>
      <c r="C32" s="101"/>
      <c r="D32" s="101"/>
      <c r="E32" s="101"/>
      <c r="F32" s="101"/>
      <c r="G32" s="18" t="s">
        <v>75</v>
      </c>
      <c r="H32" s="18" t="s">
        <v>73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1.2978895015410732</v>
      </c>
      <c r="N32" s="13">
        <f ca="1">(+M32+O32+R32+U32+V32+W32+X32+Y32+Z32+AA32+AC32+AH32+AI32+AJ32+AK32)*CUSTOS!$M$5</f>
        <v>1.6524318950154106E-12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1.4014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125.1245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CUSTOS!$M$28)*34.5504</f>
        <v>34.550400000000003</v>
      </c>
      <c r="AI32" s="13">
        <f>(1 - CUSTOS!$M$28)*0.869</f>
        <v>0.86899999999999999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01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79</v>
      </c>
      <c r="H33" s="18" t="s">
        <v>73</v>
      </c>
      <c r="I33" s="18">
        <f>'MERCADO TUSD'!$U$30</f>
        <v>5066.7939999999999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1.2978895015410732</v>
      </c>
      <c r="N33" s="13">
        <f ca="1">(+M33+O33+R33+U33+V33+W33+X33+Y33+Z33+AA33+AC33+AH33+AI33+AJ33+AK33)*CUSTOS!$M$5</f>
        <v>2.4279108950154109E-12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2.2601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201.81370000000001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CUSTOS!$M$28)*34.5504</f>
        <v>34.550400000000003</v>
      </c>
      <c r="AI33" s="13">
        <f>(1 - CUSTOS!$M$28)*0.869</f>
        <v>0.86899999999999999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01"/>
      <c r="B34" s="101" t="s">
        <v>87</v>
      </c>
      <c r="C34" s="101" t="s">
        <v>41</v>
      </c>
      <c r="D34" s="101" t="s">
        <v>90</v>
      </c>
      <c r="E34" s="101" t="s">
        <v>25</v>
      </c>
      <c r="F34" s="101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1.2978895015410732</v>
      </c>
      <c r="N34" s="13">
        <f ca="1">(+M34+O34+R34+U34+V34+W34+X34+Y34+Z34+AA34+AC34+AH34+AI34+AJ34+AK34)*CUSTOS!$M$5</f>
        <v>6.7134658950154106E-12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7.0065999999999997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625.62270000000001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CUSTOS!$M$29)*34.5504</f>
        <v>34.550400000000003</v>
      </c>
      <c r="AI34" s="13">
        <f>(1 - CUSTOS!$M$29)*0.869</f>
        <v>0.86899999999999999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01"/>
      <c r="B35" s="101"/>
      <c r="C35" s="101"/>
      <c r="D35" s="101"/>
      <c r="E35" s="101"/>
      <c r="F35" s="101"/>
      <c r="G35" s="18" t="s">
        <v>85</v>
      </c>
      <c r="H35" s="18" t="s">
        <v>73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1.2978895015410732</v>
      </c>
      <c r="N35" s="13">
        <f ca="1">(+M35+O35+R35+U35+V35+W35+X35+Y35+Z35+AA35+AC35+AH35+AI35+AJ35+AK35)*CUSTOS!$M$5</f>
        <v>4.1829488950154119E-12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4.2039999999999997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375.37360000000001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CUSTOS!$M$29)*34.5504</f>
        <v>34.550400000000003</v>
      </c>
      <c r="AI35" s="13">
        <f>(1 - CUSTOS!$M$29)*0.869</f>
        <v>0.86899999999999999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01"/>
      <c r="B36" s="101"/>
      <c r="C36" s="101"/>
      <c r="D36" s="101"/>
      <c r="E36" s="101"/>
      <c r="F36" s="101"/>
      <c r="G36" s="18" t="s">
        <v>75</v>
      </c>
      <c r="H36" s="18" t="s">
        <v>73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1.2978895015410732</v>
      </c>
      <c r="N36" s="13">
        <f ca="1">(+M36+O36+R36+U36+V36+W36+X36+Y36+Z36+AA36+AC36+AH36+AI36+AJ36+AK36)*CUSTOS!$M$5</f>
        <v>1.6524318950154106E-12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1.4014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125.1245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CUSTOS!$M$29)*34.5504</f>
        <v>34.550400000000003</v>
      </c>
      <c r="AI36" s="13">
        <f>(1 - CUSTOS!$M$29)*0.869</f>
        <v>0.86899999999999999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01"/>
      <c r="B37" s="17" t="s">
        <v>23</v>
      </c>
      <c r="C37" s="17" t="s">
        <v>41</v>
      </c>
      <c r="D37" s="17" t="s">
        <v>90</v>
      </c>
      <c r="E37" s="17" t="s">
        <v>25</v>
      </c>
      <c r="F37" s="17" t="s">
        <v>25</v>
      </c>
      <c r="G37" s="18" t="s">
        <v>79</v>
      </c>
      <c r="H37" s="18" t="s">
        <v>73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1.2978895015410732</v>
      </c>
      <c r="N37" s="13">
        <f ca="1">(+M37+O37+R37+U37+V37+W37+X37+Y37+Z37+AA37+AC37+AH37+AI37+AJ37+AK37)*CUSTOS!$M$5</f>
        <v>2.4279108950154109E-12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2.2601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201.81370000000001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CUSTOS!$M$29)*34.5504</f>
        <v>34.550400000000003</v>
      </c>
      <c r="AI37" s="13">
        <f>(1 - CUSTOS!$M$29)*0.869</f>
        <v>0.86899999999999999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01"/>
      <c r="B38" s="101" t="s">
        <v>87</v>
      </c>
      <c r="C38" s="101" t="s">
        <v>41</v>
      </c>
      <c r="D38" s="101" t="s">
        <v>91</v>
      </c>
      <c r="E38" s="101" t="s">
        <v>25</v>
      </c>
      <c r="F38" s="101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1.2978895015410732</v>
      </c>
      <c r="N38" s="13">
        <f ca="1">(+M38+O38+R38+U38+V38+W38+X38+Y38+Z38+AA38+AC38+AH38+AI38+AJ38+AK38)*CUSTOS!$M$5</f>
        <v>6.7134658950154106E-12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7.0065999999999997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625.62270000000001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CUSTOS!$M$30)*34.5504</f>
        <v>34.550400000000003</v>
      </c>
      <c r="AI38" s="13">
        <f>(1 - CUSTOS!$M$30)*0.869</f>
        <v>0.86899999999999999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01"/>
      <c r="B39" s="101"/>
      <c r="C39" s="101"/>
      <c r="D39" s="101"/>
      <c r="E39" s="101"/>
      <c r="F39" s="101"/>
      <c r="G39" s="18" t="s">
        <v>85</v>
      </c>
      <c r="H39" s="18" t="s">
        <v>73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1.2978895015410732</v>
      </c>
      <c r="N39" s="13">
        <f ca="1">(+M39+O39+R39+U39+V39+W39+X39+Y39+Z39+AA39+AC39+AH39+AI39+AJ39+AK39)*CUSTOS!$M$5</f>
        <v>4.1829488950154119E-12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4.2039999999999997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375.37360000000001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CUSTOS!$M$30)*34.5504</f>
        <v>34.550400000000003</v>
      </c>
      <c r="AI39" s="13">
        <f>(1 - CUSTOS!$M$30)*0.869</f>
        <v>0.86899999999999999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01"/>
      <c r="B40" s="101"/>
      <c r="C40" s="101"/>
      <c r="D40" s="101"/>
      <c r="E40" s="101"/>
      <c r="F40" s="101"/>
      <c r="G40" s="18" t="s">
        <v>75</v>
      </c>
      <c r="H40" s="18" t="s">
        <v>73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1.2978895015410732</v>
      </c>
      <c r="N40" s="13">
        <f ca="1">(+M40+O40+R40+U40+V40+W40+X40+Y40+Z40+AA40+AC40+AH40+AI40+AJ40+AK40)*CUSTOS!$M$5</f>
        <v>1.6524318950154106E-12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1.4014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125.1245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CUSTOS!$M$30)*34.5504</f>
        <v>34.550400000000003</v>
      </c>
      <c r="AI40" s="13">
        <f>(1 - CUSTOS!$M$30)*0.869</f>
        <v>0.86899999999999999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01"/>
      <c r="B41" s="17" t="s">
        <v>23</v>
      </c>
      <c r="C41" s="17" t="s">
        <v>41</v>
      </c>
      <c r="D41" s="17" t="s">
        <v>91</v>
      </c>
      <c r="E41" s="17" t="s">
        <v>25</v>
      </c>
      <c r="F41" s="17" t="s">
        <v>25</v>
      </c>
      <c r="G41" s="18" t="s">
        <v>79</v>
      </c>
      <c r="H41" s="18" t="s">
        <v>73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1.2978895015410732</v>
      </c>
      <c r="N41" s="13">
        <f ca="1">(+M41+O41+R41+U41+V41+W41+X41+Y41+Z41+AA41+AC41+AH41+AI41+AJ41+AK41)*CUSTOS!$M$5</f>
        <v>2.4279108950154109E-12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2.2601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201.81370000000001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CUSTOS!$M$30)*34.5504</f>
        <v>34.550400000000003</v>
      </c>
      <c r="AI41" s="13">
        <f>(1 - CUSTOS!$M$30)*0.869</f>
        <v>0.86899999999999999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01"/>
      <c r="B42" s="101" t="s">
        <v>89</v>
      </c>
      <c r="C42" s="101" t="s">
        <v>41</v>
      </c>
      <c r="D42" s="17" t="s">
        <v>25</v>
      </c>
      <c r="E42" s="17" t="s">
        <v>25</v>
      </c>
      <c r="F42" s="17" t="s">
        <v>25</v>
      </c>
      <c r="G42" s="18" t="s">
        <v>79</v>
      </c>
      <c r="H42" s="18" t="s">
        <v>73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1.2978895015410732</v>
      </c>
      <c r="N42" s="13">
        <f ca="1">(+M42+O42+R42+U42+V42+W42+X42+Y42+Z42+AA42+AC42+AH42+AI42+AJ42+AK42)*CUSTOS!$M$5</f>
        <v>2.4279108950154109E-12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2.2601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201.81370000000001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CUSTOS!$M$28)*34.5504</f>
        <v>34.550400000000003</v>
      </c>
      <c r="AI42" s="13">
        <f>(1 - CUSTOS!$M$28)*0.869</f>
        <v>0.86899999999999999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01"/>
      <c r="B43" s="101"/>
      <c r="C43" s="101"/>
      <c r="D43" s="17" t="s">
        <v>90</v>
      </c>
      <c r="E43" s="17" t="s">
        <v>25</v>
      </c>
      <c r="F43" s="17" t="s">
        <v>25</v>
      </c>
      <c r="G43" s="18" t="s">
        <v>79</v>
      </c>
      <c r="H43" s="18" t="s">
        <v>73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1.2978895015410732</v>
      </c>
      <c r="N43" s="13">
        <f ca="1">(+M43+O43+R43+U43+V43+W43+X43+Y43+Z43+AA43+AC43+AH43+AI43+AJ43+AK43)*CUSTOS!$M$5</f>
        <v>2.4279108950154109E-12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2.2601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201.81370000000001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CUSTOS!$M$29)*34.5504</f>
        <v>34.550400000000003</v>
      </c>
      <c r="AI43" s="13">
        <f>(1 - CUSTOS!$M$29)*0.869</f>
        <v>0.86899999999999999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01"/>
      <c r="B44" s="101"/>
      <c r="C44" s="101"/>
      <c r="D44" s="17" t="s">
        <v>91</v>
      </c>
      <c r="E44" s="17" t="s">
        <v>25</v>
      </c>
      <c r="F44" s="17" t="s">
        <v>25</v>
      </c>
      <c r="G44" s="18" t="s">
        <v>79</v>
      </c>
      <c r="H44" s="18" t="s">
        <v>73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1.2978895015410732</v>
      </c>
      <c r="N44" s="13">
        <f ca="1">(+M44+O44+R44+U44+V44+W44+X44+Y44+Z44+AA44+AC44+AH44+AI44+AJ44+AK44)*CUSTOS!$M$5</f>
        <v>2.4279108950154109E-12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2.2601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201.81370000000001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CUSTOS!$M$30)*34.5504</f>
        <v>34.550400000000003</v>
      </c>
      <c r="AI44" s="13">
        <f>(1 - CUSTOS!$M$30)*0.869</f>
        <v>0.86899999999999999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01" t="s">
        <v>33</v>
      </c>
      <c r="B45" s="101" t="s">
        <v>87</v>
      </c>
      <c r="C45" s="101" t="s">
        <v>25</v>
      </c>
      <c r="D45" s="101" t="s">
        <v>25</v>
      </c>
      <c r="E45" s="101" t="s">
        <v>25</v>
      </c>
      <c r="F45" s="101" t="s">
        <v>25</v>
      </c>
      <c r="G45" s="18" t="s">
        <v>74</v>
      </c>
      <c r="H45" s="18" t="s">
        <v>73</v>
      </c>
      <c r="I45" s="18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1.2978895015410732</v>
      </c>
      <c r="N45" s="13">
        <f ca="1">(+M45+O45+R45+U45+V45+W45+X45+Y45+Z45+AA45+AC45+AH45+AI45+AJ45+AK45)*CUSTOS!$M$5</f>
        <v>6.9175378950154105E-12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7.2324999999999999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645.80399999999997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CUSTOS!$M$31)*34.5504</f>
        <v>34.550400000000003</v>
      </c>
      <c r="AI45" s="13">
        <f>(1 - CUSTOS!$M$31)*0.869</f>
        <v>0.86899999999999999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01"/>
      <c r="B46" s="101"/>
      <c r="C46" s="101"/>
      <c r="D46" s="101"/>
      <c r="E46" s="101"/>
      <c r="F46" s="101"/>
      <c r="G46" s="18" t="s">
        <v>85</v>
      </c>
      <c r="H46" s="18" t="s">
        <v>73</v>
      </c>
      <c r="I46" s="18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1.2978895015410732</v>
      </c>
      <c r="N46" s="13">
        <f ca="1">(+M46+O46+R46+U46+V46+W46+X46+Y46+Z46+AA46+AC46+AH46+AI46+AJ46+AK46)*CUSTOS!$M$5</f>
        <v>4.305392895015411E-12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4.3395999999999999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387.48239999999998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CUSTOS!$M$31)*34.5504</f>
        <v>34.550400000000003</v>
      </c>
      <c r="AI46" s="13">
        <f>(1 - CUSTOS!$M$31)*0.869</f>
        <v>0.86899999999999999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01"/>
      <c r="B47" s="101"/>
      <c r="C47" s="101"/>
      <c r="D47" s="101"/>
      <c r="E47" s="101"/>
      <c r="F47" s="101"/>
      <c r="G47" s="18" t="s">
        <v>75</v>
      </c>
      <c r="H47" s="18" t="s">
        <v>73</v>
      </c>
      <c r="I47" s="18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1.2978895015410732</v>
      </c>
      <c r="N47" s="13">
        <f ca="1">(+M47+O47+R47+U47+V47+W47+X47+Y47+Z47+AA47+AC47+AH47+AI47+AJ47+AK47)*CUSTOS!$M$5</f>
        <v>1.6932458950154106E-12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1.4464999999999999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129.16079999999999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CUSTOS!$M$31)*34.5504</f>
        <v>34.550400000000003</v>
      </c>
      <c r="AI47" s="13">
        <f>(1 - CUSTOS!$M$31)*0.869</f>
        <v>0.86899999999999999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01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79</v>
      </c>
      <c r="H48" s="18" t="s">
        <v>73</v>
      </c>
      <c r="I48" s="18">
        <f>'MERCADO TUSD'!$U$45</f>
        <v>2202.5430000000001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1.2978895015410732</v>
      </c>
      <c r="N48" s="13">
        <f ca="1">(+M48+O48+R48+U48+V48+W48+X48+Y48+Z48+AA48+AC48+AH48+AI48+AJ48+AK48)*CUSTOS!$M$5</f>
        <v>2.4279108950154109E-12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2.2601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201.81370000000001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CUSTOS!$M$31)*34.5504</f>
        <v>34.550400000000003</v>
      </c>
      <c r="AI48" s="13">
        <f>(1 - CUSTOS!$M$31)*0.869</f>
        <v>0.86899999999999999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01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79</v>
      </c>
      <c r="H49" s="18" t="s">
        <v>73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1.2978895015410732</v>
      </c>
      <c r="N49" s="13">
        <f ca="1">(+M49+O49+R49+U49+V49+W49+X49+Y49+Z49+AA49+AC49+AH49+AI49+AJ49+AK49)*CUSTOS!$M$5</f>
        <v>2.4279108950154109E-12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2.2601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201.81370000000001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CUSTOS!$M$31)*34.5504</f>
        <v>34.550400000000003</v>
      </c>
      <c r="AI49" s="13">
        <f>(1 - CUSTOS!$M$31)*0.869</f>
        <v>0.86899999999999999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01" t="s">
        <v>43</v>
      </c>
      <c r="B50" s="101" t="s">
        <v>23</v>
      </c>
      <c r="C50" s="101" t="s">
        <v>44</v>
      </c>
      <c r="D50" s="17" t="s">
        <v>45</v>
      </c>
      <c r="E50" s="17" t="s">
        <v>25</v>
      </c>
      <c r="F50" s="17" t="s">
        <v>25</v>
      </c>
      <c r="G50" s="18" t="s">
        <v>79</v>
      </c>
      <c r="H50" s="18" t="s">
        <v>73</v>
      </c>
      <c r="I50" s="18">
        <f>'MERCADO TUSD'!$U$47</f>
        <v>786.13800000000003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0.7138392258475903</v>
      </c>
      <c r="N50" s="13">
        <f ca="1">(+M50+O50+R50+U50+V50+W50+X50+Y50+Z50+AA50+AC50+AH50+AI50+AJ50+AK50)*CUSTOS!$M$5</f>
        <v>1.335350992258476E-12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1.243055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110.99753500000001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CUSTOS!$M$32)*34.5504</f>
        <v>19.002720000000004</v>
      </c>
      <c r="AI50" s="13">
        <f>(1 - CUSTOS!$M$32)*0.869</f>
        <v>0.47795000000000004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01"/>
      <c r="B51" s="101"/>
      <c r="C51" s="101"/>
      <c r="D51" s="18" t="s">
        <v>46</v>
      </c>
      <c r="E51" s="18" t="s">
        <v>25</v>
      </c>
      <c r="F51" s="18" t="s">
        <v>25</v>
      </c>
      <c r="G51" s="18" t="s">
        <v>79</v>
      </c>
      <c r="H51" s="18" t="s">
        <v>73</v>
      </c>
      <c r="I51" s="18">
        <f>'MERCADO TUSD'!$U$48</f>
        <v>25.399000000000001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0.77873370092464389</v>
      </c>
      <c r="N51" s="13">
        <f ca="1">(+M51+O51+R51+U51+V51+W51+X51+Y51+Z51+AA51+AC51+AH51+AI51+AJ51+AK51)*CUSTOS!$M$5</f>
        <v>1.4567465370092467E-12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1.35606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121.08822000000001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CUSTOS!$M$33)*34.5504</f>
        <v>20.730240000000002</v>
      </c>
      <c r="AI51" s="13">
        <f>(1 - CUSTOS!$M$33)*0.869</f>
        <v>0.52139999999999997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515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516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517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31644.59014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36566.353099099892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4.9904341977253603E-8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35289.310299999997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34899.5023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31644.59014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34899.5023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35289.310299999997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77604.473502129986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5685839.2071695775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763537.50074741989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19205.051207299999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453</v>
      </c>
      <c r="L56" s="13">
        <f>CUSTOS!$D$2</f>
        <v>0</v>
      </c>
      <c r="M56" s="13">
        <f>CUSTOS!$D$3</f>
        <v>37038.683252912764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2860082.5921099996</v>
      </c>
      <c r="R56" s="13">
        <f>CUSTOS!$D$8</f>
        <v>498272.18112000002</v>
      </c>
      <c r="S56" s="13">
        <f>CUSTOS!$D$9</f>
        <v>0</v>
      </c>
      <c r="T56" s="13">
        <f>CUSTOS!$D$10</f>
        <v>3395393.4564829124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4050663.7402049992</v>
      </c>
      <c r="Z56" s="13">
        <f>Z54</f>
        <v>0</v>
      </c>
      <c r="AA56" s="13">
        <f>AA54</f>
        <v>0</v>
      </c>
      <c r="AB56" s="13">
        <f>CUSTOS!$D$18</f>
        <v>4050663.7402049992</v>
      </c>
      <c r="AC56" s="13">
        <f>CUSTOS!$D$19</f>
        <v>8187106.6300000008</v>
      </c>
      <c r="AD56" s="13">
        <f>CUSTOS!$D$20</f>
        <v>8187106.6300000008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326087.73679610278</v>
      </c>
      <c r="AI56" s="13">
        <f>CUSTOS!$D$25</f>
        <v>7365.8617279972041</v>
      </c>
      <c r="AJ56" s="13">
        <f>CUSTOS!$D$26</f>
        <v>0</v>
      </c>
      <c r="AK56" s="13">
        <f>CUSTOS!$D$27</f>
        <v>0</v>
      </c>
      <c r="AL56" s="13">
        <f>CUSTOS!$D$28</f>
        <v>333453.59852409997</v>
      </c>
      <c r="AM56" s="13">
        <f>CUSTOS!$D$29</f>
        <v>15966617.425212013</v>
      </c>
    </row>
    <row r="57" spans="1:42" ht="11.25" customHeight="1" x14ac:dyDescent="0.25">
      <c r="K57" s="16" t="s">
        <v>454</v>
      </c>
      <c r="L57" s="13">
        <f>CUSTOS!$E$2</f>
        <v>0</v>
      </c>
      <c r="M57" s="13">
        <f>CUSTOS!$E$3</f>
        <v>1717.3787376874666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160108.37498343849</v>
      </c>
      <c r="R57" s="13">
        <f>CUSTOS!$E$8</f>
        <v>28107.862599384738</v>
      </c>
      <c r="S57" s="13">
        <f>CUSTOS!$E$9</f>
        <v>0</v>
      </c>
      <c r="T57" s="13">
        <f>CUSTOS!$E$10</f>
        <v>189933.61632051069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-422390.37368547905</v>
      </c>
      <c r="Z57" s="13">
        <f>CUSTOS!$E$16</f>
        <v>0</v>
      </c>
      <c r="AA57" s="13">
        <f>CUSTOS!$E$17</f>
        <v>0</v>
      </c>
      <c r="AB57" s="13">
        <f>CUSTOS!$E$18</f>
        <v>-422390.37368547905</v>
      </c>
      <c r="AC57" s="13">
        <f>CUSTOS!$E$19</f>
        <v>-2231516.880356343</v>
      </c>
      <c r="AD57" s="13">
        <f>CUSTOS!$E$20</f>
        <v>-2231516.880356343</v>
      </c>
      <c r="AE57" s="13">
        <f>CUSTOS!$E$21</f>
        <v>-170335.2244935311</v>
      </c>
      <c r="AF57" s="13">
        <f>CUSTOS!$E$22</f>
        <v>0</v>
      </c>
      <c r="AG57" s="13">
        <f>CUSTOS!$E$23</f>
        <v>-170335.2244935311</v>
      </c>
      <c r="AH57" s="13">
        <f>CUSTOS!$E$24</f>
        <v>-17092.86294593069</v>
      </c>
      <c r="AI57" s="13">
        <f>CUSTOS!$E$25</f>
        <v>-386.10364876756432</v>
      </c>
      <c r="AJ57" s="13">
        <f>CUSTOS!$E$26</f>
        <v>0</v>
      </c>
      <c r="AK57" s="13">
        <f>CUSTOS!$E$27</f>
        <v>0</v>
      </c>
      <c r="AL57" s="13">
        <f>CUSTOS!$E$28</f>
        <v>-17478.966594698253</v>
      </c>
      <c r="AM57" s="13">
        <f>CUSTOS!$E$29</f>
        <v>-2651787.8288095407</v>
      </c>
    </row>
    <row r="58" spans="1:42" ht="11.25" customHeight="1" x14ac:dyDescent="0.25">
      <c r="K58" s="16" t="s">
        <v>455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518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519</v>
      </c>
      <c r="L60" s="13">
        <f t="shared" ref="L60:S60" si="1">IF((L55+L53)&lt;&gt;0,(L56-L54-L59)/(L55+L53),0)</f>
        <v>0</v>
      </c>
      <c r="M60" s="13">
        <f t="shared" si="1"/>
        <v>1.0129170703059391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90.381407357674803</v>
      </c>
      <c r="R60" s="13">
        <f t="shared" si="1"/>
        <v>14.277343465726158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52.19626598064378</v>
      </c>
      <c r="Z60" s="13"/>
      <c r="AA60" s="13"/>
      <c r="AB60" s="13"/>
      <c r="AC60" s="13">
        <f>IF(AC55&lt;&gt;0,(AC56-AC54-AC53-AC59)/AC55,0)</f>
        <v>1.4399117406761066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0.42707494586303679</v>
      </c>
      <c r="AI60" s="13">
        <f>IF(AI55&lt;&gt;0,(AI56-AI54-AI53-AI59)/AI55,0)</f>
        <v>0.38353772913645651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19" t="s">
        <v>523</v>
      </c>
      <c r="L62" s="19" t="s">
        <v>524</v>
      </c>
      <c r="M62" s="19" t="s">
        <v>525</v>
      </c>
      <c r="N62" s="19" t="s">
        <v>526</v>
      </c>
      <c r="O62" s="19" t="s">
        <v>527</v>
      </c>
      <c r="P62" s="19" t="s">
        <v>528</v>
      </c>
    </row>
    <row r="63" spans="1:42" ht="11.25" customHeight="1" x14ac:dyDescent="0.25">
      <c r="K63" s="18" t="s">
        <v>35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8091581.0075955866</v>
      </c>
      <c r="M63" s="18">
        <f>+'TUSD BE'!$I$7+'TUSD BE'!$I$8+'TUSD BE'!$I$11+'TUSD BE'!$I$12+'TUSD BE'!$I$13+'TUSD BE'!$I$14</f>
        <v>20343.200999999997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25">
      <c r="K64" s="18" t="s">
        <v>82</v>
      </c>
      <c r="L64" s="18">
        <f ca="1">+$L$65+$L$66+$L$67+$L$68+$L$69</f>
        <v>7875036.4176161857</v>
      </c>
      <c r="M64" s="18">
        <f>+$M$65+$M$66+$M$67+$M$68+$M$69</f>
        <v>15310.031000000001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25">
      <c r="K65" s="18" t="s">
        <v>82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25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3787945.5051580518</v>
      </c>
      <c r="M66" s="18">
        <f>+'TUSD BE'!$I$17+'TUSD BE'!$I$18+'TUSD BE'!$I$19+'TUSD BE'!$I$20+'TUSD BE'!$I$21+'TUSD BE'!$I$22+'TUSD BE'!$I$23+'TUSD BE'!$I$24+'TUSD BE'!$I$25+'TUSD BE'!$I$26+'TUSD BE'!$I$27+'TUSD BE'!$I$28+'TUSD BE'!$I$29</f>
        <v>7229.1570000000002</v>
      </c>
      <c r="N66" s="18"/>
      <c r="O66" s="18"/>
      <c r="P66" s="18"/>
    </row>
    <row r="67" spans="11:16" ht="11.25" customHeight="1" x14ac:dyDescent="0.25">
      <c r="K67" s="18" t="s">
        <v>40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2683500.8054536502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5066.7939999999999</v>
      </c>
      <c r="N67" s="18"/>
      <c r="O67" s="18"/>
      <c r="P67" s="18"/>
    </row>
    <row r="68" spans="11:16" ht="11.25" customHeight="1" x14ac:dyDescent="0.25">
      <c r="K68" s="18" t="s">
        <v>33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1166521.8508086768</v>
      </c>
      <c r="M68" s="18">
        <f>+'TUSD BE'!$I$45+'TUSD BE'!$I$46+'TUSD BE'!$I$47+'TUSD BE'!$I$48+'TUSD BE'!$I$49</f>
        <v>2202.5430000000001</v>
      </c>
      <c r="N68" s="18"/>
      <c r="O68" s="18"/>
      <c r="P68" s="18"/>
    </row>
    <row r="69" spans="11:16" ht="11.25" customHeight="1" x14ac:dyDescent="0.25">
      <c r="K69" s="18" t="s">
        <v>43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237068.25619580687</v>
      </c>
      <c r="M69" s="18">
        <f>+'TUSD BE'!$I$50+'TUSD BE'!$I$51</f>
        <v>811.53700000000003</v>
      </c>
      <c r="N69" s="18"/>
      <c r="O69" s="18"/>
      <c r="P69" s="18"/>
    </row>
    <row r="70" spans="11:16" ht="11.25" customHeight="1" x14ac:dyDescent="0.25">
      <c r="K70" s="18"/>
      <c r="L70" s="18">
        <f ca="1">SUM($L$63:$L$69,-$L$64)</f>
        <v>15966617.425211772</v>
      </c>
      <c r="M70" s="18">
        <f>SUM($M$63:$M$69,-$M$64)</f>
        <v>35653.231999999989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C98-942F-4E32-8049-010E87A44E4F}">
  <dimension ref="A1:AP58"/>
  <sheetViews>
    <sheetView showGridLines="0" topLeftCell="AB29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9.285156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2" t="s">
        <v>63</v>
      </c>
      <c r="B1" s="102" t="s">
        <v>64</v>
      </c>
      <c r="C1" s="102" t="s">
        <v>65</v>
      </c>
      <c r="D1" s="102" t="s">
        <v>66</v>
      </c>
      <c r="E1" s="102" t="s">
        <v>67</v>
      </c>
      <c r="F1" s="102" t="s">
        <v>15</v>
      </c>
      <c r="G1" s="102" t="s">
        <v>69</v>
      </c>
      <c r="H1" s="102" t="s">
        <v>70</v>
      </c>
      <c r="I1" s="102" t="s">
        <v>512</v>
      </c>
      <c r="J1" s="95"/>
      <c r="L1" s="103" t="s">
        <v>520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P1" s="103" t="s">
        <v>514</v>
      </c>
    </row>
    <row r="2" spans="1:42" ht="11.2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95"/>
      <c r="L2" s="103" t="s">
        <v>411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P2" s="104"/>
    </row>
    <row r="3" spans="1:42" ht="11.2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95"/>
      <c r="L3" s="103" t="s">
        <v>412</v>
      </c>
      <c r="M3" s="103"/>
      <c r="N3" s="103"/>
      <c r="O3" s="103"/>
      <c r="P3" s="103"/>
      <c r="Q3" s="103"/>
      <c r="R3" s="103"/>
      <c r="S3" s="103"/>
      <c r="T3" s="103"/>
      <c r="U3" s="103" t="s">
        <v>421</v>
      </c>
      <c r="V3" s="103"/>
      <c r="W3" s="103"/>
      <c r="X3" s="103"/>
      <c r="Y3" s="103"/>
      <c r="Z3" s="103"/>
      <c r="AA3" s="103"/>
      <c r="AB3" s="103"/>
      <c r="AC3" s="103" t="s">
        <v>429</v>
      </c>
      <c r="AD3" s="103"/>
      <c r="AE3" s="103" t="s">
        <v>431</v>
      </c>
      <c r="AF3" s="103"/>
      <c r="AG3" s="103"/>
      <c r="AH3" s="103" t="s">
        <v>434</v>
      </c>
      <c r="AI3" s="103"/>
      <c r="AJ3" s="103"/>
      <c r="AK3" s="103"/>
      <c r="AL3" s="103"/>
      <c r="AM3" s="103" t="s">
        <v>420</v>
      </c>
      <c r="AP3" s="104"/>
    </row>
    <row r="4" spans="1:42" ht="11.2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95"/>
      <c r="L4" s="10" t="s">
        <v>497</v>
      </c>
      <c r="M4" s="10" t="s">
        <v>413</v>
      </c>
      <c r="N4" s="10" t="s">
        <v>414</v>
      </c>
      <c r="O4" s="10" t="s">
        <v>415</v>
      </c>
      <c r="P4" s="10" t="s">
        <v>416</v>
      </c>
      <c r="Q4" s="10" t="s">
        <v>417</v>
      </c>
      <c r="R4" s="10" t="s">
        <v>418</v>
      </c>
      <c r="S4" s="10" t="s">
        <v>419</v>
      </c>
      <c r="T4" s="10" t="s">
        <v>420</v>
      </c>
      <c r="U4" s="10" t="s">
        <v>422</v>
      </c>
      <c r="V4" s="10" t="s">
        <v>423</v>
      </c>
      <c r="W4" s="10" t="s">
        <v>424</v>
      </c>
      <c r="X4" s="10" t="s">
        <v>425</v>
      </c>
      <c r="Y4" s="10" t="s">
        <v>426</v>
      </c>
      <c r="Z4" s="10" t="s">
        <v>427</v>
      </c>
      <c r="AA4" s="10" t="s">
        <v>428</v>
      </c>
      <c r="AB4" s="10" t="s">
        <v>420</v>
      </c>
      <c r="AC4" s="10" t="s">
        <v>430</v>
      </c>
      <c r="AD4" s="10" t="s">
        <v>420</v>
      </c>
      <c r="AE4" s="10" t="s">
        <v>432</v>
      </c>
      <c r="AF4" s="10" t="s">
        <v>433</v>
      </c>
      <c r="AG4" s="10" t="s">
        <v>420</v>
      </c>
      <c r="AH4" s="10" t="s">
        <v>435</v>
      </c>
      <c r="AI4" s="10" t="s">
        <v>436</v>
      </c>
      <c r="AJ4" s="10" t="s">
        <v>437</v>
      </c>
      <c r="AK4" s="10" t="s">
        <v>438</v>
      </c>
      <c r="AL4" s="10" t="s">
        <v>420</v>
      </c>
      <c r="AM4" s="105"/>
      <c r="AP4" s="104"/>
    </row>
    <row r="5" spans="1:42" ht="11.25" customHeight="1" x14ac:dyDescent="0.25">
      <c r="A5" s="101" t="s">
        <v>35</v>
      </c>
      <c r="B5" s="101" t="s">
        <v>54</v>
      </c>
      <c r="C5" s="101" t="s">
        <v>25</v>
      </c>
      <c r="D5" s="101" t="s">
        <v>25</v>
      </c>
      <c r="E5" s="101" t="s">
        <v>25</v>
      </c>
      <c r="F5" s="101" t="s">
        <v>25</v>
      </c>
      <c r="G5" s="18" t="s">
        <v>77</v>
      </c>
      <c r="H5" s="18" t="s">
        <v>76</v>
      </c>
      <c r="I5" s="18">
        <f>'MERCADO TUSD'!$U$2</f>
        <v>1044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32.753156902853966</v>
      </c>
      <c r="Z5" s="13">
        <f>'TR TUSD'!$Z$5</f>
        <v>0</v>
      </c>
      <c r="AA5" s="13">
        <f>'TR TUSD'!$AA$5</f>
        <v>0</v>
      </c>
      <c r="AB5" s="13">
        <f>SUM($U$5:$AA$5)</f>
        <v>32.753156902853966</v>
      </c>
      <c r="AC5" s="13">
        <f>'TR TUSD'!$AC$5*'TR TUSD'!$AC$60</f>
        <v>81.790442658580474</v>
      </c>
      <c r="AD5" s="13">
        <f>SUM($AC$5:$AC$5)</f>
        <v>81.790442658580474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114.54359956143443</v>
      </c>
      <c r="AP5" s="13">
        <v>1</v>
      </c>
    </row>
    <row r="6" spans="1:42" ht="11.25" customHeight="1" x14ac:dyDescent="0.25">
      <c r="A6" s="101"/>
      <c r="B6" s="101"/>
      <c r="C6" s="101"/>
      <c r="D6" s="101"/>
      <c r="E6" s="101"/>
      <c r="F6" s="101"/>
      <c r="G6" s="18" t="s">
        <v>78</v>
      </c>
      <c r="H6" s="18" t="s">
        <v>76</v>
      </c>
      <c r="I6" s="18">
        <f>'MERCADO TUSD'!$U$3</f>
        <v>1080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14.922912443866055</v>
      </c>
      <c r="Z6" s="13">
        <f>'TR TUSD'!$Z$6</f>
        <v>0</v>
      </c>
      <c r="AA6" s="13">
        <f>'TR TUSD'!$AA$6</f>
        <v>0</v>
      </c>
      <c r="AB6" s="13">
        <f>SUM($U$6:$AA$6)</f>
        <v>14.922912443866055</v>
      </c>
      <c r="AC6" s="13">
        <f>'TR TUSD'!$AC$6*'TR TUSD'!$AC$60</f>
        <v>20.693835572300735</v>
      </c>
      <c r="AD6" s="13">
        <f>SUM($AC$6:$AC$6)</f>
        <v>20.693835572300735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35.616748016166788</v>
      </c>
      <c r="AP6" s="13">
        <v>1</v>
      </c>
    </row>
    <row r="7" spans="1:42" ht="11.25" customHeight="1" x14ac:dyDescent="0.25">
      <c r="A7" s="101"/>
      <c r="B7" s="101"/>
      <c r="C7" s="101"/>
      <c r="D7" s="101"/>
      <c r="E7" s="101"/>
      <c r="F7" s="101"/>
      <c r="G7" s="18" t="s">
        <v>79</v>
      </c>
      <c r="H7" s="18" t="s">
        <v>73</v>
      </c>
      <c r="I7" s="18">
        <f>'MERCADO TUSD'!$U$4</f>
        <v>562.31000000000006</v>
      </c>
      <c r="J7" s="15"/>
      <c r="L7" s="13">
        <f>'TR TUSD'!$L$7*'TR TUSD'!$L$60</f>
        <v>0</v>
      </c>
      <c r="M7" s="13">
        <f>'TR TUSD'!$M$7*'TR TUSD'!$M$60</f>
        <v>0.85481701863222148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75.920382180446836</v>
      </c>
      <c r="R7" s="13">
        <f>'TR TUSD'!$R$7*'TR TUSD'!$R$60</f>
        <v>14.277343465726158</v>
      </c>
      <c r="S7" s="13">
        <f>'TR TUSD'!$S$7*'TR TUSD'!$S$60</f>
        <v>0</v>
      </c>
      <c r="T7" s="13">
        <f ca="1">SUM($L$7:$S$7)</f>
        <v>91.052542664805216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5.1884053948062752</v>
      </c>
      <c r="AI7" s="13">
        <f>'TR TUSD'!$AI$7*'TR TUSD'!$AI$60</f>
        <v>0.1172091300241011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5.3056145248303759</v>
      </c>
      <c r="AM7" s="13">
        <f ca="1">SUMIF($L$4:$AL$4,"SUBTOTAL",$L$7:$AL$7)</f>
        <v>96.358157189635591</v>
      </c>
      <c r="AP7" s="13">
        <v>1</v>
      </c>
    </row>
    <row r="8" spans="1:42" ht="11.25" customHeight="1" x14ac:dyDescent="0.25">
      <c r="A8" s="101"/>
      <c r="B8" s="101"/>
      <c r="C8" s="101"/>
      <c r="D8" s="101"/>
      <c r="E8" s="17" t="s">
        <v>80</v>
      </c>
      <c r="F8" s="17" t="s">
        <v>25</v>
      </c>
      <c r="G8" s="18" t="s">
        <v>79</v>
      </c>
      <c r="H8" s="18" t="s">
        <v>73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0.85481701863222148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0.85481701863222148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5.1884053948062752</v>
      </c>
      <c r="AI8" s="13">
        <f>'TR TUSD'!$AI$8*'TR TUSD'!$AI$60</f>
        <v>0.1172091300241011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5.3056145248303759</v>
      </c>
      <c r="AM8" s="13">
        <f ca="1">SUMIF($L$4:$AL$4,"SUBTOTAL",$L$8:$AL$8)</f>
        <v>6.1604315434625976</v>
      </c>
      <c r="AP8" s="13">
        <v>1</v>
      </c>
    </row>
    <row r="9" spans="1:42" ht="11.25" customHeight="1" x14ac:dyDescent="0.25">
      <c r="A9" s="101"/>
      <c r="B9" s="17" t="s">
        <v>81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76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3.0286220402147578E-2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3.0286220402147578E-2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19.554865385425934</v>
      </c>
      <c r="AD9" s="13">
        <f>SUM($AC$9:$AC$9)</f>
        <v>19.554865385425934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19.585151605828081</v>
      </c>
      <c r="AP9" s="13"/>
    </row>
    <row r="10" spans="1:42" ht="11.25" customHeight="1" x14ac:dyDescent="0.25">
      <c r="A10" s="101"/>
      <c r="B10" s="101" t="s">
        <v>36</v>
      </c>
      <c r="C10" s="101" t="s">
        <v>25</v>
      </c>
      <c r="D10" s="101" t="s">
        <v>25</v>
      </c>
      <c r="E10" s="101" t="s">
        <v>25</v>
      </c>
      <c r="F10" s="101" t="s">
        <v>25</v>
      </c>
      <c r="G10" s="18" t="s">
        <v>9</v>
      </c>
      <c r="H10" s="18" t="s">
        <v>76</v>
      </c>
      <c r="I10" s="18">
        <f>'MERCADO TUSD'!$U$7</f>
        <v>111678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14.922912443866055</v>
      </c>
      <c r="Z10" s="13">
        <f>'TR TUSD'!$Z$10</f>
        <v>0</v>
      </c>
      <c r="AA10" s="13">
        <f>'TR TUSD'!$AA$10</f>
        <v>0</v>
      </c>
      <c r="AB10" s="13">
        <f>SUM($U$10:$AA$10)</f>
        <v>14.922912443866055</v>
      </c>
      <c r="AC10" s="13">
        <f>'TR TUSD'!$AC$10*'TR TUSD'!$AC$60</f>
        <v>20.693835572300735</v>
      </c>
      <c r="AD10" s="13">
        <f>SUM($AC$10:$AC$10)</f>
        <v>20.693835572300735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35.616748016166788</v>
      </c>
      <c r="AP10" s="13">
        <v>1</v>
      </c>
    </row>
    <row r="11" spans="1:42" ht="11.25" customHeight="1" x14ac:dyDescent="0.25">
      <c r="A11" s="101"/>
      <c r="B11" s="101"/>
      <c r="C11" s="101"/>
      <c r="D11" s="101"/>
      <c r="E11" s="101"/>
      <c r="F11" s="101"/>
      <c r="G11" s="18" t="s">
        <v>74</v>
      </c>
      <c r="H11" s="18" t="s">
        <v>73</v>
      </c>
      <c r="I11" s="18">
        <f>'MERCADO TUSD'!$U$8</f>
        <v>724.46799999999996</v>
      </c>
      <c r="J11" s="15"/>
      <c r="L11" s="13">
        <f>'TR TUSD'!$L$11*'TR TUSD'!$L$60</f>
        <v>0</v>
      </c>
      <c r="M11" s="13">
        <f>'TR TUSD'!$M$11*'TR TUSD'!$M$60</f>
        <v>0.85481701863222148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75.920382180446836</v>
      </c>
      <c r="R11" s="13">
        <f>'TR TUSD'!$R$11*'TR TUSD'!$R$60</f>
        <v>14.277343465726158</v>
      </c>
      <c r="S11" s="13">
        <f>'TR TUSD'!$S$11*'TR TUSD'!$S$60</f>
        <v>0</v>
      </c>
      <c r="T11" s="13">
        <f ca="1">SUM($L$11:$S$11)</f>
        <v>91.052542664805216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787.63643402131663</v>
      </c>
      <c r="Z11" s="13">
        <f>'TR TUSD'!$Z$11</f>
        <v>0</v>
      </c>
      <c r="AA11" s="13">
        <f>'TR TUSD'!$AA$11</f>
        <v>0</v>
      </c>
      <c r="AB11" s="13">
        <f>SUM($U$11:$AA$11)</f>
        <v>787.63643402131663</v>
      </c>
      <c r="AC11" s="13">
        <f>'TR TUSD'!$AC$11*'TR TUSD'!$AC$60</f>
        <v>1967.0619890258886</v>
      </c>
      <c r="AD11" s="13">
        <f>SUM($AC$11:$AC$11)</f>
        <v>1967.0619890258886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5.1884053948062752</v>
      </c>
      <c r="AI11" s="13">
        <f>'TR TUSD'!$AI$11*'TR TUSD'!$AI$60</f>
        <v>0.1172091300241011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5.3056145248303759</v>
      </c>
      <c r="AM11" s="13">
        <f ca="1">SUMIF($L$4:$AL$4,"SUBTOTAL",$L$11:$AL$11)</f>
        <v>2851.0565802368405</v>
      </c>
      <c r="AP11" s="13">
        <v>1</v>
      </c>
    </row>
    <row r="12" spans="1:42" ht="11.25" customHeight="1" x14ac:dyDescent="0.25">
      <c r="A12" s="101"/>
      <c r="B12" s="101"/>
      <c r="C12" s="101"/>
      <c r="D12" s="101"/>
      <c r="E12" s="101"/>
      <c r="F12" s="101"/>
      <c r="G12" s="18" t="s">
        <v>75</v>
      </c>
      <c r="H12" s="18" t="s">
        <v>73</v>
      </c>
      <c r="I12" s="18">
        <f>'MERCADO TUSD'!$U$9</f>
        <v>19056.422999999999</v>
      </c>
      <c r="J12" s="15"/>
      <c r="L12" s="13">
        <f>'TR TUSD'!$L$12*'TR TUSD'!$L$60</f>
        <v>0</v>
      </c>
      <c r="M12" s="13">
        <f>'TR TUSD'!$M$12*'TR TUSD'!$M$60</f>
        <v>0.85481701863222148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75.920382180446836</v>
      </c>
      <c r="R12" s="13">
        <f>'TR TUSD'!$R$12*'TR TUSD'!$R$60</f>
        <v>14.277343465726158</v>
      </c>
      <c r="S12" s="13">
        <f>'TR TUSD'!$S$12*'TR TUSD'!$S$60</f>
        <v>0</v>
      </c>
      <c r="T12" s="13">
        <f ca="1">SUM($L$12:$S$12)</f>
        <v>91.052542664805216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5.1884053948062752</v>
      </c>
      <c r="AI12" s="13">
        <f>'TR TUSD'!$AI$12*'TR TUSD'!$AI$60</f>
        <v>0.1172091300241011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5.3056145248303759</v>
      </c>
      <c r="AM12" s="13">
        <f ca="1">SUMIF($L$4:$AL$4,"SUBTOTAL",$L$12:$AL$12)</f>
        <v>96.358157189635591</v>
      </c>
      <c r="AP12" s="13">
        <v>1</v>
      </c>
    </row>
    <row r="13" spans="1:42" ht="11.25" customHeight="1" x14ac:dyDescent="0.25">
      <c r="A13" s="101"/>
      <c r="B13" s="101"/>
      <c r="C13" s="101"/>
      <c r="D13" s="101"/>
      <c r="E13" s="101" t="s">
        <v>80</v>
      </c>
      <c r="F13" s="101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0.85481701863222148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0.85481701863222148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787.63643402131663</v>
      </c>
      <c r="Z13" s="13">
        <f>'TR TUSD'!$Z$13</f>
        <v>0</v>
      </c>
      <c r="AA13" s="13">
        <f>'TR TUSD'!$AA$13</f>
        <v>0</v>
      </c>
      <c r="AB13" s="13">
        <f>SUM($U$13:$AA$13)</f>
        <v>787.63643402131663</v>
      </c>
      <c r="AC13" s="13">
        <f>'TR TUSD'!$AC$13*'TR TUSD'!$AC$60</f>
        <v>1967.0619890258886</v>
      </c>
      <c r="AD13" s="13">
        <f>SUM($AC$13:$AC$13)</f>
        <v>1967.0619890258886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5.1884053948062752</v>
      </c>
      <c r="AI13" s="13">
        <f>'TR TUSD'!$AI$13*'TR TUSD'!$AI$60</f>
        <v>0.1172091300241011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5.3056145248303759</v>
      </c>
      <c r="AM13" s="13">
        <f ca="1">SUMIF($L$4:$AL$4,"SUBTOTAL",$L$13:$AL$13)</f>
        <v>2760.8588545906678</v>
      </c>
      <c r="AP13" s="13">
        <v>1</v>
      </c>
    </row>
    <row r="14" spans="1:42" ht="11.25" customHeight="1" x14ac:dyDescent="0.25">
      <c r="A14" s="101"/>
      <c r="B14" s="101"/>
      <c r="C14" s="101"/>
      <c r="D14" s="101"/>
      <c r="E14" s="101"/>
      <c r="F14" s="101"/>
      <c r="G14" s="18" t="s">
        <v>75</v>
      </c>
      <c r="H14" s="18" t="s">
        <v>73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0.85481701863222148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0.85481701863222148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5.1884053948062752</v>
      </c>
      <c r="AI14" s="13">
        <f>'TR TUSD'!$AI$14*'TR TUSD'!$AI$60</f>
        <v>0.1172091300241011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5.3056145248303759</v>
      </c>
      <c r="AM14" s="13">
        <f ca="1">SUMIF($L$4:$AL$4,"SUBTOTAL",$L$14:$AL$14)</f>
        <v>6.1604315434625976</v>
      </c>
      <c r="AP14" s="13">
        <v>1</v>
      </c>
    </row>
    <row r="15" spans="1:42" ht="11.25" customHeight="1" x14ac:dyDescent="0.25">
      <c r="A15" s="101" t="s">
        <v>82</v>
      </c>
      <c r="B15" s="101" t="s">
        <v>81</v>
      </c>
      <c r="C15" s="101" t="s">
        <v>25</v>
      </c>
      <c r="D15" s="101" t="s">
        <v>25</v>
      </c>
      <c r="E15" s="17" t="s">
        <v>83</v>
      </c>
      <c r="F15" s="17" t="s">
        <v>25</v>
      </c>
      <c r="G15" s="18" t="s">
        <v>9</v>
      </c>
      <c r="H15" s="18" t="s">
        <v>76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5.1658770585602896E-3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5.1658770585602896E-3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3.6956774736192957</v>
      </c>
      <c r="AD15" s="13">
        <f>SUM($AC$15:$AC$15)</f>
        <v>3.6956774736192957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3.700843350677856</v>
      </c>
      <c r="AP15" s="13"/>
    </row>
    <row r="16" spans="1:42" ht="11.25" customHeight="1" x14ac:dyDescent="0.25">
      <c r="A16" s="101"/>
      <c r="B16" s="101"/>
      <c r="C16" s="101"/>
      <c r="D16" s="101"/>
      <c r="E16" s="17" t="s">
        <v>84</v>
      </c>
      <c r="F16" s="17" t="s">
        <v>25</v>
      </c>
      <c r="G16" s="18" t="s">
        <v>9</v>
      </c>
      <c r="H16" s="18" t="s">
        <v>76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5.1658770585602896E-3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5.1658770585602896E-3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20.36567968660065</v>
      </c>
      <c r="AD16" s="13">
        <f>SUM($AC$16:$AC$16)</f>
        <v>20.36567968660065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20.370845563659209</v>
      </c>
      <c r="AP16" s="13"/>
    </row>
    <row r="17" spans="1:42" ht="11.25" customHeight="1" x14ac:dyDescent="0.25">
      <c r="A17" s="101" t="s">
        <v>22</v>
      </c>
      <c r="B17" s="101" t="s">
        <v>87</v>
      </c>
      <c r="C17" s="101" t="s">
        <v>24</v>
      </c>
      <c r="D17" s="101" t="s">
        <v>24</v>
      </c>
      <c r="E17" s="101" t="s">
        <v>25</v>
      </c>
      <c r="F17" s="101" t="s">
        <v>25</v>
      </c>
      <c r="G17" s="18" t="s">
        <v>74</v>
      </c>
      <c r="H17" s="18" t="s">
        <v>73</v>
      </c>
      <c r="I17" s="18">
        <f>'MERCADO TUSD'!$U$14</f>
        <v>0</v>
      </c>
      <c r="J17" s="15"/>
      <c r="L17" s="13">
        <f>'TR TUSD'!$L$17*'TR TUSD'!$L$60</f>
        <v>0</v>
      </c>
      <c r="M17" s="13">
        <f>'TR TUSD'!$M$17*'TR TUSD'!$M$60</f>
        <v>1.3146544314818196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90.381407357674803</v>
      </c>
      <c r="R17" s="13">
        <f>'TR TUSD'!$R$17*'TR TUSD'!$R$60</f>
        <v>14.277343465726158</v>
      </c>
      <c r="S17" s="13">
        <f>'TR TUSD'!$S$17*'TR TUSD'!$S$60</f>
        <v>0</v>
      </c>
      <c r="T17" s="13">
        <f ca="1">SUM($L$17:$S$17)</f>
        <v>105.97340525488278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342.12564499672771</v>
      </c>
      <c r="Z17" s="13">
        <f>'TR TUSD'!$Z$17</f>
        <v>0</v>
      </c>
      <c r="AA17" s="13">
        <f>'TR TUSD'!$AA$17</f>
        <v>0</v>
      </c>
      <c r="AB17" s="13">
        <f>SUM($U$17:$AA$17)</f>
        <v>342.12564499672771</v>
      </c>
      <c r="AC17" s="13">
        <f>'TR TUSD'!$AC$17*'TR TUSD'!$AC$60</f>
        <v>842.72260135692409</v>
      </c>
      <c r="AD17" s="13">
        <f>SUM($AC$17:$AC$17)</f>
        <v>842.72260135692409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14.755610209546267</v>
      </c>
      <c r="AI17" s="13">
        <f>'TR TUSD'!$AI$17*'TR TUSD'!$AI$60</f>
        <v>0.33329428661958072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15.088904496165847</v>
      </c>
      <c r="AM17" s="13">
        <f ca="1">SUMIF($L$4:$AL$4,"SUBTOTAL",$L$17:$AL$17)</f>
        <v>1305.9105561047004</v>
      </c>
      <c r="AP17" s="13">
        <v>1</v>
      </c>
    </row>
    <row r="18" spans="1:42" ht="11.25" customHeight="1" x14ac:dyDescent="0.25">
      <c r="A18" s="101"/>
      <c r="B18" s="101"/>
      <c r="C18" s="101"/>
      <c r="D18" s="101"/>
      <c r="E18" s="101"/>
      <c r="F18" s="101"/>
      <c r="G18" s="18" t="s">
        <v>85</v>
      </c>
      <c r="H18" s="18" t="s">
        <v>73</v>
      </c>
      <c r="I18" s="18">
        <f>'MERCADO TUSD'!$U$15</f>
        <v>0</v>
      </c>
      <c r="J18" s="15"/>
      <c r="L18" s="13">
        <f>'TR TUSD'!$L$18*'TR TUSD'!$L$60</f>
        <v>0</v>
      </c>
      <c r="M18" s="13">
        <f>'TR TUSD'!$M$18*'TR TUSD'!$M$60</f>
        <v>1.3146544314818196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90.381407357674803</v>
      </c>
      <c r="R18" s="13">
        <f>'TR TUSD'!$R$18*'TR TUSD'!$R$60</f>
        <v>14.277343465726158</v>
      </c>
      <c r="S18" s="13">
        <f>'TR TUSD'!$S$18*'TR TUSD'!$S$60</f>
        <v>0</v>
      </c>
      <c r="T18" s="13">
        <f ca="1">SUM($L$18:$S$18)</f>
        <v>105.97340525488278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205.2722552220778</v>
      </c>
      <c r="Z18" s="13">
        <f>'TR TUSD'!$Z$18</f>
        <v>0</v>
      </c>
      <c r="AA18" s="13">
        <f>'TR TUSD'!$AA$18</f>
        <v>0</v>
      </c>
      <c r="AB18" s="13">
        <f>SUM($U$18:$AA$18)</f>
        <v>205.2722552220778</v>
      </c>
      <c r="AC18" s="13">
        <f>'TR TUSD'!$AC$18*'TR TUSD'!$AC$60</f>
        <v>505.63350321768479</v>
      </c>
      <c r="AD18" s="13">
        <f>SUM($AC$18:$AC$18)</f>
        <v>505.63350321768479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14.755610209546267</v>
      </c>
      <c r="AI18" s="13">
        <f>'TR TUSD'!$AI$18*'TR TUSD'!$AI$60</f>
        <v>0.33329428661958072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15.088904496165847</v>
      </c>
      <c r="AM18" s="13">
        <f ca="1">SUMIF($L$4:$AL$4,"SUBTOTAL",$L$18:$AL$18)</f>
        <v>831.9680681908111</v>
      </c>
      <c r="AP18" s="13">
        <v>1</v>
      </c>
    </row>
    <row r="19" spans="1:42" ht="11.25" customHeight="1" x14ac:dyDescent="0.25">
      <c r="A19" s="101"/>
      <c r="B19" s="101"/>
      <c r="C19" s="101"/>
      <c r="D19" s="101"/>
      <c r="E19" s="101"/>
      <c r="F19" s="101"/>
      <c r="G19" s="18" t="s">
        <v>75</v>
      </c>
      <c r="H19" s="18" t="s">
        <v>73</v>
      </c>
      <c r="I19" s="18">
        <f>'MERCADO TUSD'!$U$16</f>
        <v>0</v>
      </c>
      <c r="J19" s="15"/>
      <c r="L19" s="13">
        <f>'TR TUSD'!$L$19*'TR TUSD'!$L$60</f>
        <v>0</v>
      </c>
      <c r="M19" s="13">
        <f>'TR TUSD'!$M$19*'TR TUSD'!$M$60</f>
        <v>1.3146544314818196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90.381407357674803</v>
      </c>
      <c r="R19" s="13">
        <f>'TR TUSD'!$R$19*'TR TUSD'!$R$60</f>
        <v>14.277343465726158</v>
      </c>
      <c r="S19" s="13">
        <f>'TR TUSD'!$S$19*'TR TUSD'!$S$60</f>
        <v>0</v>
      </c>
      <c r="T19" s="13">
        <f ca="1">SUM($L$19:$S$19)</f>
        <v>105.97340525488278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68.424085074025925</v>
      </c>
      <c r="Z19" s="13">
        <f>'TR TUSD'!$Z$19</f>
        <v>0</v>
      </c>
      <c r="AA19" s="13">
        <f>'TR TUSD'!$AA$19</f>
        <v>0</v>
      </c>
      <c r="AB19" s="13">
        <f>SUM($U$19:$AA$19)</f>
        <v>68.424085074025925</v>
      </c>
      <c r="AC19" s="13">
        <f>'TR TUSD'!$AC$19*'TR TUSD'!$AC$60</f>
        <v>168.54440507844558</v>
      </c>
      <c r="AD19" s="13">
        <f>SUM($AC$19:$AC$19)</f>
        <v>168.54440507844558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14.755610209546267</v>
      </c>
      <c r="AI19" s="13">
        <f>'TR TUSD'!$AI$19*'TR TUSD'!$AI$60</f>
        <v>0.33329428661958072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15.088904496165847</v>
      </c>
      <c r="AM19" s="13">
        <f ca="1">SUMIF($L$4:$AL$4,"SUBTOTAL",$L$19:$AL$19)</f>
        <v>358.03079990352018</v>
      </c>
      <c r="AP19" s="13">
        <v>1</v>
      </c>
    </row>
    <row r="20" spans="1:42" ht="11.25" customHeight="1" x14ac:dyDescent="0.25">
      <c r="A20" s="101"/>
      <c r="B20" s="101" t="s">
        <v>23</v>
      </c>
      <c r="C20" s="101" t="s">
        <v>24</v>
      </c>
      <c r="D20" s="17" t="s">
        <v>24</v>
      </c>
      <c r="E20" s="17" t="s">
        <v>25</v>
      </c>
      <c r="F20" s="17" t="s">
        <v>25</v>
      </c>
      <c r="G20" s="18" t="s">
        <v>79</v>
      </c>
      <c r="H20" s="18" t="s">
        <v>73</v>
      </c>
      <c r="I20" s="18">
        <f>'MERCADO TUSD'!$U$17</f>
        <v>6839.3490000000002</v>
      </c>
      <c r="J20" s="15"/>
      <c r="L20" s="13">
        <f>'TR TUSD'!$L$20*'TR TUSD'!$L$60</f>
        <v>0</v>
      </c>
      <c r="M20" s="13">
        <f>'TR TUSD'!$M$20*'TR TUSD'!$M$60</f>
        <v>1.3146544314818196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90.381407357674803</v>
      </c>
      <c r="R20" s="13">
        <f>'TR TUSD'!$R$20*'TR TUSD'!$R$60</f>
        <v>14.277343465726158</v>
      </c>
      <c r="S20" s="13">
        <f>'TR TUSD'!$S$20*'TR TUSD'!$S$60</f>
        <v>0</v>
      </c>
      <c r="T20" s="13">
        <f ca="1">SUM($L$20:$S$20)</f>
        <v>105.97340525488278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117.96878074285301</v>
      </c>
      <c r="Z20" s="13">
        <f>'TR TUSD'!$Z$20</f>
        <v>0</v>
      </c>
      <c r="AA20" s="13">
        <f>'TR TUSD'!$AA$20</f>
        <v>0</v>
      </c>
      <c r="AB20" s="13">
        <f>SUM($U$20:$AA$20)</f>
        <v>117.96878074285301</v>
      </c>
      <c r="AC20" s="13">
        <f>'TR TUSD'!$AC$20*'TR TUSD'!$AC$60</f>
        <v>290.59391605928562</v>
      </c>
      <c r="AD20" s="13">
        <f>SUM($AC$20:$AC$20)</f>
        <v>290.59391605928562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14.755610209546267</v>
      </c>
      <c r="AI20" s="13">
        <f>'TR TUSD'!$AI$20*'TR TUSD'!$AI$60</f>
        <v>0.33329428661958072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15.088904496165847</v>
      </c>
      <c r="AM20" s="13">
        <f ca="1">SUMIF($L$4:$AL$4,"SUBTOTAL",$L$20:$AL$20)</f>
        <v>529.62500655318729</v>
      </c>
      <c r="AP20" s="13">
        <v>1</v>
      </c>
    </row>
    <row r="21" spans="1:42" ht="11.25" customHeight="1" x14ac:dyDescent="0.25">
      <c r="A21" s="101"/>
      <c r="B21" s="101"/>
      <c r="C21" s="101"/>
      <c r="D21" s="17" t="s">
        <v>29</v>
      </c>
      <c r="E21" s="17" t="s">
        <v>25</v>
      </c>
      <c r="F21" s="17" t="s">
        <v>25</v>
      </c>
      <c r="G21" s="18" t="s">
        <v>79</v>
      </c>
      <c r="H21" s="18" t="s">
        <v>73</v>
      </c>
      <c r="I21" s="18">
        <f>'MERCADO TUSD'!$U$18</f>
        <v>69.570000000000007</v>
      </c>
      <c r="J21" s="15"/>
      <c r="L21" s="13">
        <f>'TR TUSD'!$L$21*'TR TUSD'!$L$60</f>
        <v>0</v>
      </c>
      <c r="M21" s="13">
        <f>'TR TUSD'!$M$21*'TR TUSD'!$M$60</f>
        <v>1.3146544314818196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1.3146544314818196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117.96878074285301</v>
      </c>
      <c r="Z21" s="13">
        <f>'TR TUSD'!$Z$21</f>
        <v>0</v>
      </c>
      <c r="AA21" s="13">
        <f>'TR TUSD'!$AA$21</f>
        <v>0</v>
      </c>
      <c r="AB21" s="13">
        <f>SUM($U$21:$AA$21)</f>
        <v>117.96878074285301</v>
      </c>
      <c r="AC21" s="13">
        <f>'TR TUSD'!$AC$21*'TR TUSD'!$AC$60</f>
        <v>290.59391605928562</v>
      </c>
      <c r="AD21" s="13">
        <f>SUM($AC$21:$AC$21)</f>
        <v>290.59391605928562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14.755610209546267</v>
      </c>
      <c r="AI21" s="13">
        <f>'TR TUSD'!$AI$21*'TR TUSD'!$AI$60</f>
        <v>0.33329428661958072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15.088904496165847</v>
      </c>
      <c r="AM21" s="13">
        <f ca="1">SUMIF($L$4:$AL$4,"SUBTOTAL",$L$21:$AL$21)</f>
        <v>424.96625572978633</v>
      </c>
      <c r="AP21" s="13">
        <f>IF((1 - CUSTOS!$M$24)&lt;&gt;0,1/(1 - CUSTOS!$M$24),1)</f>
        <v>1</v>
      </c>
    </row>
    <row r="22" spans="1:42" ht="11.25" customHeight="1" x14ac:dyDescent="0.25">
      <c r="A22" s="101"/>
      <c r="B22" s="101"/>
      <c r="C22" s="101"/>
      <c r="D22" s="17" t="s">
        <v>30</v>
      </c>
      <c r="E22" s="17" t="s">
        <v>25</v>
      </c>
      <c r="F22" s="17" t="s">
        <v>25</v>
      </c>
      <c r="G22" s="18" t="s">
        <v>79</v>
      </c>
      <c r="H22" s="18" t="s">
        <v>73</v>
      </c>
      <c r="I22" s="18">
        <f>'MERCADO TUSD'!$U$19</f>
        <v>149.51999999999998</v>
      </c>
      <c r="J22" s="15"/>
      <c r="L22" s="13">
        <f>'TR TUSD'!$L$22*'TR TUSD'!$L$60</f>
        <v>0</v>
      </c>
      <c r="M22" s="13">
        <f>'TR TUSD'!$M$22*'TR TUSD'!$M$60</f>
        <v>1.3146544314818196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1.3146544314818196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117.96878074285301</v>
      </c>
      <c r="Z22" s="13">
        <f>'TR TUSD'!$Z$22</f>
        <v>0</v>
      </c>
      <c r="AA22" s="13">
        <f>'TR TUSD'!$AA$22</f>
        <v>0</v>
      </c>
      <c r="AB22" s="13">
        <f>SUM($U$22:$AA$22)</f>
        <v>117.96878074285301</v>
      </c>
      <c r="AC22" s="13">
        <f>'TR TUSD'!$AC$22*'TR TUSD'!$AC$60</f>
        <v>290.59391605928562</v>
      </c>
      <c r="AD22" s="13">
        <f>SUM($AC$22:$AC$22)</f>
        <v>290.59391605928562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14.755610209546267</v>
      </c>
      <c r="AI22" s="13">
        <f>'TR TUSD'!$AI$22*'TR TUSD'!$AI$60</f>
        <v>0.33329428661958072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15.088904496165847</v>
      </c>
      <c r="AM22" s="13">
        <f ca="1">SUMIF($L$4:$AL$4,"SUBTOTAL",$L$22:$AL$22)</f>
        <v>424.96625572978633</v>
      </c>
      <c r="AP22" s="13">
        <f>IF((1 - CUSTOS!$M$25)&lt;&gt;0,1/(1 - CUSTOS!$M$25),1)</f>
        <v>1</v>
      </c>
    </row>
    <row r="23" spans="1:42" ht="11.25" customHeight="1" x14ac:dyDescent="0.25">
      <c r="A23" s="101"/>
      <c r="B23" s="101"/>
      <c r="C23" s="101"/>
      <c r="D23" s="17" t="s">
        <v>31</v>
      </c>
      <c r="E23" s="17" t="s">
        <v>25</v>
      </c>
      <c r="F23" s="17" t="s">
        <v>25</v>
      </c>
      <c r="G23" s="18" t="s">
        <v>79</v>
      </c>
      <c r="H23" s="18" t="s">
        <v>73</v>
      </c>
      <c r="I23" s="18">
        <f>'MERCADO TUSD'!$U$20</f>
        <v>134.06700000000001</v>
      </c>
      <c r="J23" s="15"/>
      <c r="L23" s="13">
        <f>'TR TUSD'!$L$23*'TR TUSD'!$L$60</f>
        <v>0</v>
      </c>
      <c r="M23" s="13">
        <f>'TR TUSD'!$M$23*'TR TUSD'!$M$60</f>
        <v>1.3146544314818196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1.3146544314818196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117.96878074285301</v>
      </c>
      <c r="Z23" s="13">
        <f>'TR TUSD'!$Z$23</f>
        <v>0</v>
      </c>
      <c r="AA23" s="13">
        <f>'TR TUSD'!$AA$23</f>
        <v>0</v>
      </c>
      <c r="AB23" s="13">
        <f>SUM($U$23:$AA$23)</f>
        <v>117.96878074285301</v>
      </c>
      <c r="AC23" s="13">
        <f>'TR TUSD'!$AC$23*'TR TUSD'!$AC$60</f>
        <v>290.59391605928562</v>
      </c>
      <c r="AD23" s="13">
        <f>SUM($AC$23:$AC$23)</f>
        <v>290.59391605928562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14.755610209546267</v>
      </c>
      <c r="AI23" s="13">
        <f>'TR TUSD'!$AI$23*'TR TUSD'!$AI$60</f>
        <v>0.33329428661958072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15.088904496165847</v>
      </c>
      <c r="AM23" s="13">
        <f ca="1">SUMIF($L$4:$AL$4,"SUBTOTAL",$L$23:$AL$23)</f>
        <v>424.96625572978633</v>
      </c>
      <c r="AP23" s="13">
        <f>IF((1 - CUSTOS!$M$26)&lt;&gt;0,1/(1 - CUSTOS!$M$26),1)</f>
        <v>1</v>
      </c>
    </row>
    <row r="24" spans="1:42" ht="11.25" customHeight="1" x14ac:dyDescent="0.25">
      <c r="A24" s="101"/>
      <c r="B24" s="101"/>
      <c r="C24" s="101"/>
      <c r="D24" s="17" t="s">
        <v>32</v>
      </c>
      <c r="E24" s="17" t="s">
        <v>25</v>
      </c>
      <c r="F24" s="17" t="s">
        <v>25</v>
      </c>
      <c r="G24" s="18" t="s">
        <v>79</v>
      </c>
      <c r="H24" s="18" t="s">
        <v>73</v>
      </c>
      <c r="I24" s="18">
        <f>'MERCADO TUSD'!$U$21</f>
        <v>36.650999999999996</v>
      </c>
      <c r="J24" s="15"/>
      <c r="L24" s="13">
        <f>'TR TUSD'!$L$24*'TR TUSD'!$L$60</f>
        <v>0</v>
      </c>
      <c r="M24" s="13">
        <f>'TR TUSD'!$M$24*'TR TUSD'!$M$60</f>
        <v>1.3146544314818196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1.3146544314818196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117.96878074285301</v>
      </c>
      <c r="Z24" s="13">
        <f>'TR TUSD'!$Z$24</f>
        <v>0</v>
      </c>
      <c r="AA24" s="13">
        <f>'TR TUSD'!$AA$24</f>
        <v>0</v>
      </c>
      <c r="AB24" s="13">
        <f>SUM($U$24:$AA$24)</f>
        <v>117.96878074285301</v>
      </c>
      <c r="AC24" s="13">
        <f>'TR TUSD'!$AC$24*'TR TUSD'!$AC$60</f>
        <v>290.59391605928562</v>
      </c>
      <c r="AD24" s="13">
        <f>SUM($AC$24:$AC$24)</f>
        <v>290.59391605928562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14.755610209546267</v>
      </c>
      <c r="AI24" s="13">
        <f>'TR TUSD'!$AI$24*'TR TUSD'!$AI$60</f>
        <v>0.33329428661958072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15.088904496165847</v>
      </c>
      <c r="AM24" s="13">
        <f ca="1">SUMIF($L$4:$AL$4,"SUBTOTAL",$L$24:$AL$24)</f>
        <v>424.96625572978633</v>
      </c>
      <c r="AP24" s="13">
        <f>IF((1 - CUSTOS!$M$27)&lt;&gt;0,1/(1 - CUSTOS!$M$27),1)</f>
        <v>1</v>
      </c>
    </row>
    <row r="25" spans="1:42" ht="11.25" customHeight="1" x14ac:dyDescent="0.25">
      <c r="A25" s="101"/>
      <c r="B25" s="101" t="s">
        <v>89</v>
      </c>
      <c r="C25" s="101" t="s">
        <v>24</v>
      </c>
      <c r="D25" s="17" t="s">
        <v>24</v>
      </c>
      <c r="E25" s="17" t="s">
        <v>25</v>
      </c>
      <c r="F25" s="17" t="s">
        <v>25</v>
      </c>
      <c r="G25" s="18" t="s">
        <v>79</v>
      </c>
      <c r="H25" s="18" t="s">
        <v>73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1.3146544314818196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90.381407357674803</v>
      </c>
      <c r="R25" s="13">
        <f>'TR TUSD'!$R$25*'TR TUSD'!$R$60</f>
        <v>14.277343465726158</v>
      </c>
      <c r="S25" s="13">
        <f>'TR TUSD'!$S$25*'TR TUSD'!$S$60</f>
        <v>0</v>
      </c>
      <c r="T25" s="13">
        <f ca="1">SUM($L$25:$S$25)</f>
        <v>105.97340525488278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117.96878074285301</v>
      </c>
      <c r="Z25" s="13">
        <f>'TR TUSD'!$Z$25</f>
        <v>0</v>
      </c>
      <c r="AA25" s="13">
        <f>'TR TUSD'!$AA$25</f>
        <v>0</v>
      </c>
      <c r="AB25" s="13">
        <f>SUM($U$25:$AA$25)</f>
        <v>117.96878074285301</v>
      </c>
      <c r="AC25" s="13">
        <f>'TR TUSD'!$AC$25*'TR TUSD'!$AC$60</f>
        <v>290.59391605928562</v>
      </c>
      <c r="AD25" s="13">
        <f>SUM($AC$25:$AC$25)</f>
        <v>290.59391605928562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14.755610209546267</v>
      </c>
      <c r="AI25" s="13">
        <f>'TR TUSD'!$AI$25*'TR TUSD'!$AI$60</f>
        <v>0.33329428661958072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15.088904496165847</v>
      </c>
      <c r="AM25" s="13">
        <f ca="1">SUMIF($L$4:$AL$4,"SUBTOTAL",$L$25:$AL$25)</f>
        <v>529.62500655318729</v>
      </c>
      <c r="AP25" s="13">
        <v>1</v>
      </c>
    </row>
    <row r="26" spans="1:42" ht="11.25" customHeight="1" x14ac:dyDescent="0.25">
      <c r="A26" s="101"/>
      <c r="B26" s="101"/>
      <c r="C26" s="101"/>
      <c r="D26" s="17" t="s">
        <v>29</v>
      </c>
      <c r="E26" s="17" t="s">
        <v>25</v>
      </c>
      <c r="F26" s="17" t="s">
        <v>25</v>
      </c>
      <c r="G26" s="18" t="s">
        <v>79</v>
      </c>
      <c r="H26" s="18" t="s">
        <v>73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1.3146544314818196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1.3146544314818196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117.96878074285301</v>
      </c>
      <c r="Z26" s="13">
        <f>'TR TUSD'!$Z$26</f>
        <v>0</v>
      </c>
      <c r="AA26" s="13">
        <f>'TR TUSD'!$AA$26</f>
        <v>0</v>
      </c>
      <c r="AB26" s="13">
        <f>SUM($U$26:$AA$26)</f>
        <v>117.96878074285301</v>
      </c>
      <c r="AC26" s="13">
        <f>'TR TUSD'!$AC$26*'TR TUSD'!$AC$60</f>
        <v>290.59391605928562</v>
      </c>
      <c r="AD26" s="13">
        <f>SUM($AC$26:$AC$26)</f>
        <v>290.59391605928562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14.755610209546267</v>
      </c>
      <c r="AI26" s="13">
        <f>'TR TUSD'!$AI$26*'TR TUSD'!$AI$60</f>
        <v>0.33329428661958072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15.088904496165847</v>
      </c>
      <c r="AM26" s="13">
        <f ca="1">SUMIF($L$4:$AL$4,"SUBTOTAL",$L$26:$AL$26)</f>
        <v>424.96625572978633</v>
      </c>
      <c r="AP26" s="13">
        <f>IF((1 - CUSTOS!$M$24)&lt;&gt;0,1/(1 - CUSTOS!$M$24),1)</f>
        <v>1</v>
      </c>
    </row>
    <row r="27" spans="1:42" ht="11.25" customHeight="1" x14ac:dyDescent="0.25">
      <c r="A27" s="101"/>
      <c r="B27" s="101"/>
      <c r="C27" s="101"/>
      <c r="D27" s="17" t="s">
        <v>30</v>
      </c>
      <c r="E27" s="17" t="s">
        <v>25</v>
      </c>
      <c r="F27" s="17" t="s">
        <v>25</v>
      </c>
      <c r="G27" s="18" t="s">
        <v>79</v>
      </c>
      <c r="H27" s="18" t="s">
        <v>73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1.3146544314818196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1.3146544314818196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117.96878074285301</v>
      </c>
      <c r="Z27" s="13">
        <f>'TR TUSD'!$Z$27</f>
        <v>0</v>
      </c>
      <c r="AA27" s="13">
        <f>'TR TUSD'!$AA$27</f>
        <v>0</v>
      </c>
      <c r="AB27" s="13">
        <f>SUM($U$27:$AA$27)</f>
        <v>117.96878074285301</v>
      </c>
      <c r="AC27" s="13">
        <f>'TR TUSD'!$AC$27*'TR TUSD'!$AC$60</f>
        <v>290.59391605928562</v>
      </c>
      <c r="AD27" s="13">
        <f>SUM($AC$27:$AC$27)</f>
        <v>290.59391605928562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14.755610209546267</v>
      </c>
      <c r="AI27" s="13">
        <f>'TR TUSD'!$AI$27*'TR TUSD'!$AI$60</f>
        <v>0.33329428661958072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15.088904496165847</v>
      </c>
      <c r="AM27" s="13">
        <f ca="1">SUMIF($L$4:$AL$4,"SUBTOTAL",$L$27:$AL$27)</f>
        <v>424.96625572978633</v>
      </c>
      <c r="AP27" s="13">
        <f>IF((1 - CUSTOS!$M$25)&lt;&gt;0,1/(1 - CUSTOS!$M$25),1)</f>
        <v>1</v>
      </c>
    </row>
    <row r="28" spans="1:42" ht="11.25" customHeight="1" x14ac:dyDescent="0.25">
      <c r="A28" s="101"/>
      <c r="B28" s="101"/>
      <c r="C28" s="101"/>
      <c r="D28" s="17" t="s">
        <v>31</v>
      </c>
      <c r="E28" s="17" t="s">
        <v>25</v>
      </c>
      <c r="F28" s="17" t="s">
        <v>25</v>
      </c>
      <c r="G28" s="18" t="s">
        <v>79</v>
      </c>
      <c r="H28" s="18" t="s">
        <v>73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1.3146544314818196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1.3146544314818196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117.96878074285301</v>
      </c>
      <c r="Z28" s="13">
        <f>'TR TUSD'!$Z$28</f>
        <v>0</v>
      </c>
      <c r="AA28" s="13">
        <f>'TR TUSD'!$AA$28</f>
        <v>0</v>
      </c>
      <c r="AB28" s="13">
        <f>SUM($U$28:$AA$28)</f>
        <v>117.96878074285301</v>
      </c>
      <c r="AC28" s="13">
        <f>'TR TUSD'!$AC$28*'TR TUSD'!$AC$60</f>
        <v>290.59391605928562</v>
      </c>
      <c r="AD28" s="13">
        <f>SUM($AC$28:$AC$28)</f>
        <v>290.59391605928562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14.755610209546267</v>
      </c>
      <c r="AI28" s="13">
        <f>'TR TUSD'!$AI$28*'TR TUSD'!$AI$60</f>
        <v>0.33329428661958072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15.088904496165847</v>
      </c>
      <c r="AM28" s="13">
        <f ca="1">SUMIF($L$4:$AL$4,"SUBTOTAL",$L$28:$AL$28)</f>
        <v>424.96625572978633</v>
      </c>
      <c r="AP28" s="13">
        <f>IF((1 - CUSTOS!$M$26)&lt;&gt;0,1/(1 - CUSTOS!$M$26),1)</f>
        <v>1</v>
      </c>
    </row>
    <row r="29" spans="1:42" ht="11.25" customHeight="1" x14ac:dyDescent="0.25">
      <c r="A29" s="101"/>
      <c r="B29" s="101"/>
      <c r="C29" s="101"/>
      <c r="D29" s="17" t="s">
        <v>32</v>
      </c>
      <c r="E29" s="17" t="s">
        <v>25</v>
      </c>
      <c r="F29" s="17" t="s">
        <v>25</v>
      </c>
      <c r="G29" s="18" t="s">
        <v>79</v>
      </c>
      <c r="H29" s="18" t="s">
        <v>73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1.3146544314818196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1.3146544314818196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117.96878074285301</v>
      </c>
      <c r="Z29" s="13">
        <f>'TR TUSD'!$Z$29</f>
        <v>0</v>
      </c>
      <c r="AA29" s="13">
        <f>'TR TUSD'!$AA$29</f>
        <v>0</v>
      </c>
      <c r="AB29" s="13">
        <f>SUM($U$29:$AA$29)</f>
        <v>117.96878074285301</v>
      </c>
      <c r="AC29" s="13">
        <f>'TR TUSD'!$AC$29*'TR TUSD'!$AC$60</f>
        <v>290.59391605928562</v>
      </c>
      <c r="AD29" s="13">
        <f>SUM($AC$29:$AC$29)</f>
        <v>290.59391605928562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14.755610209546267</v>
      </c>
      <c r="AI29" s="13">
        <f>'TR TUSD'!$AI$29*'TR TUSD'!$AI$60</f>
        <v>0.33329428661958072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15.088904496165847</v>
      </c>
      <c r="AM29" s="13">
        <f ca="1">SUMIF($L$4:$AL$4,"SUBTOTAL",$L$29:$AL$29)</f>
        <v>424.96625572978633</v>
      </c>
      <c r="AP29" s="13">
        <f>IF((1 - CUSTOS!$M$27)&lt;&gt;0,1/(1 - CUSTOS!$M$27),1)</f>
        <v>1</v>
      </c>
    </row>
    <row r="30" spans="1:42" ht="11.25" customHeight="1" x14ac:dyDescent="0.25">
      <c r="A30" s="101" t="s">
        <v>40</v>
      </c>
      <c r="B30" s="101" t="s">
        <v>87</v>
      </c>
      <c r="C30" s="101" t="s">
        <v>41</v>
      </c>
      <c r="D30" s="101" t="s">
        <v>25</v>
      </c>
      <c r="E30" s="101" t="s">
        <v>25</v>
      </c>
      <c r="F30" s="101" t="s">
        <v>25</v>
      </c>
      <c r="G30" s="18" t="s">
        <v>74</v>
      </c>
      <c r="H30" s="18" t="s">
        <v>73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1.3146544314818196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90.381407357674803</v>
      </c>
      <c r="R30" s="13">
        <f>'TR TUSD'!$R$30*'TR TUSD'!$R$60</f>
        <v>14.277343465726158</v>
      </c>
      <c r="S30" s="13">
        <f>'TR TUSD'!$S$30*'TR TUSD'!$S$60</f>
        <v>0</v>
      </c>
      <c r="T30" s="13">
        <f ca="1">SUM($L$30:$S$30)</f>
        <v>105.97340525488278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365.71835721997871</v>
      </c>
      <c r="Z30" s="13">
        <f>'TR TUSD'!$Z$30</f>
        <v>0</v>
      </c>
      <c r="AA30" s="13">
        <f>'TR TUSD'!$AA$30</f>
        <v>0</v>
      </c>
      <c r="AB30" s="13">
        <f>SUM($U$30:$AA$30)</f>
        <v>365.71835721997871</v>
      </c>
      <c r="AC30" s="13">
        <f>'TR TUSD'!$AC$30*'TR TUSD'!$AC$60</f>
        <v>900.84147096348568</v>
      </c>
      <c r="AD30" s="13">
        <f>SUM($AC$30:$AC$30)</f>
        <v>900.84147096348568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14.755610209546267</v>
      </c>
      <c r="AI30" s="13">
        <f>'TR TUSD'!$AI$30*'TR TUSD'!$AI$60</f>
        <v>0.33329428661958072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15.088904496165847</v>
      </c>
      <c r="AM30" s="13">
        <f ca="1">SUMIF($L$4:$AL$4,"SUBTOTAL",$L$30:$AL$30)</f>
        <v>1387.6221379345131</v>
      </c>
      <c r="AP30" s="13">
        <f>IF((1 - CUSTOS!$M$28)&lt;&gt;0,1/(1 - CUSTOS!$M$28),1)</f>
        <v>1</v>
      </c>
    </row>
    <row r="31" spans="1:42" ht="11.25" customHeight="1" x14ac:dyDescent="0.25">
      <c r="A31" s="101"/>
      <c r="B31" s="101"/>
      <c r="C31" s="101"/>
      <c r="D31" s="101"/>
      <c r="E31" s="101"/>
      <c r="F31" s="101"/>
      <c r="G31" s="18" t="s">
        <v>85</v>
      </c>
      <c r="H31" s="18" t="s">
        <v>73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1.3146544314818196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90.381407357674803</v>
      </c>
      <c r="R31" s="13">
        <f>'TR TUSD'!$R$31*'TR TUSD'!$R$60</f>
        <v>14.277343465726158</v>
      </c>
      <c r="S31" s="13">
        <f>'TR TUSD'!$S$31*'TR TUSD'!$S$60</f>
        <v>0</v>
      </c>
      <c r="T31" s="13">
        <f ca="1">SUM($L$31:$S$31)</f>
        <v>105.97340525488278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219.43310218262644</v>
      </c>
      <c r="Z31" s="13">
        <f>'TR TUSD'!$Z$31</f>
        <v>0</v>
      </c>
      <c r="AA31" s="13">
        <f>'TR TUSD'!$AA$31</f>
        <v>0</v>
      </c>
      <c r="AB31" s="13">
        <f>SUM($U$31:$AA$31)</f>
        <v>219.43310218262644</v>
      </c>
      <c r="AC31" s="13">
        <f>'TR TUSD'!$AC$31*'TR TUSD'!$AC$60</f>
        <v>540.5048537798566</v>
      </c>
      <c r="AD31" s="13">
        <f>SUM($AC$31:$AC$31)</f>
        <v>540.5048537798566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14.755610209546267</v>
      </c>
      <c r="AI31" s="13">
        <f>'TR TUSD'!$AI$31*'TR TUSD'!$AI$60</f>
        <v>0.33329428661958072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15.088904496165847</v>
      </c>
      <c r="AM31" s="13">
        <f ca="1">SUMIF($L$4:$AL$4,"SUBTOTAL",$L$31:$AL$31)</f>
        <v>881.00026571353158</v>
      </c>
      <c r="AP31" s="13">
        <f>IF((1 - CUSTOS!$M$28)&lt;&gt;0,1/(1 - CUSTOS!$M$28),1)</f>
        <v>1</v>
      </c>
    </row>
    <row r="32" spans="1:42" ht="11.25" customHeight="1" x14ac:dyDescent="0.25">
      <c r="A32" s="101"/>
      <c r="B32" s="101"/>
      <c r="C32" s="101"/>
      <c r="D32" s="101"/>
      <c r="E32" s="101"/>
      <c r="F32" s="101"/>
      <c r="G32" s="18" t="s">
        <v>75</v>
      </c>
      <c r="H32" s="18" t="s">
        <v>73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1.3146544314818196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90.381407357674803</v>
      </c>
      <c r="R32" s="13">
        <f>'TR TUSD'!$R$32*'TR TUSD'!$R$60</f>
        <v>14.277343465726158</v>
      </c>
      <c r="S32" s="13">
        <f>'TR TUSD'!$S$32*'TR TUSD'!$S$60</f>
        <v>0</v>
      </c>
      <c r="T32" s="13">
        <f ca="1">SUM($L$32:$S$32)</f>
        <v>105.97340525488278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73.147847145274199</v>
      </c>
      <c r="Z32" s="13">
        <f>'TR TUSD'!$Z$32</f>
        <v>0</v>
      </c>
      <c r="AA32" s="13">
        <f>'TR TUSD'!$AA$32</f>
        <v>0</v>
      </c>
      <c r="AB32" s="13">
        <f>SUM($U$32:$AA$32)</f>
        <v>73.147847145274199</v>
      </c>
      <c r="AC32" s="13">
        <f>'TR TUSD'!$AC$32*'TR TUSD'!$AC$60</f>
        <v>180.1682365962275</v>
      </c>
      <c r="AD32" s="13">
        <f>SUM($AC$32:$AC$32)</f>
        <v>180.1682365962275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14.755610209546267</v>
      </c>
      <c r="AI32" s="13">
        <f>'TR TUSD'!$AI$32*'TR TUSD'!$AI$60</f>
        <v>0.33329428661958072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15.088904496165847</v>
      </c>
      <c r="AM32" s="13">
        <f ca="1">SUMIF($L$4:$AL$4,"SUBTOTAL",$L$32:$AL$32)</f>
        <v>374.37839349255034</v>
      </c>
      <c r="AP32" s="13">
        <f>IF((1 - CUSTOS!$M$28)&lt;&gt;0,1/(1 - CUSTOS!$M$28),1)</f>
        <v>1</v>
      </c>
    </row>
    <row r="33" spans="1:42" ht="11.25" customHeight="1" x14ac:dyDescent="0.25">
      <c r="A33" s="101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79</v>
      </c>
      <c r="H33" s="18" t="s">
        <v>73</v>
      </c>
      <c r="I33" s="18">
        <f>'MERCADO TUSD'!$U$30</f>
        <v>5066.7939999999999</v>
      </c>
      <c r="J33" s="15"/>
      <c r="L33" s="13">
        <f>'TR TUSD'!$L$33*'TR TUSD'!$L$60</f>
        <v>0</v>
      </c>
      <c r="M33" s="13">
        <f>'TR TUSD'!$M$33*'TR TUSD'!$M$60</f>
        <v>1.3146544314818196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90.381407357674803</v>
      </c>
      <c r="R33" s="13">
        <f>'TR TUSD'!$R$33*'TR TUSD'!$R$60</f>
        <v>14.277343465726158</v>
      </c>
      <c r="S33" s="13">
        <f>'TR TUSD'!$S$33*'TR TUSD'!$S$60</f>
        <v>0</v>
      </c>
      <c r="T33" s="13">
        <f ca="1">SUM($L$33:$S$33)</f>
        <v>105.97340525488278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117.96878074285301</v>
      </c>
      <c r="Z33" s="13">
        <f>'TR TUSD'!$Z$33</f>
        <v>0</v>
      </c>
      <c r="AA33" s="13">
        <f>'TR TUSD'!$AA$33</f>
        <v>0</v>
      </c>
      <c r="AB33" s="13">
        <f>SUM($U$33:$AA$33)</f>
        <v>117.96878074285301</v>
      </c>
      <c r="AC33" s="13">
        <f>'TR TUSD'!$AC$33*'TR TUSD'!$AC$60</f>
        <v>290.59391605928562</v>
      </c>
      <c r="AD33" s="13">
        <f>SUM($AC$33:$AC$33)</f>
        <v>290.59391605928562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14.755610209546267</v>
      </c>
      <c r="AI33" s="13">
        <f>'TR TUSD'!$AI$33*'TR TUSD'!$AI$60</f>
        <v>0.33329428661958072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15.088904496165847</v>
      </c>
      <c r="AM33" s="13">
        <f ca="1">SUMIF($L$4:$AL$4,"SUBTOTAL",$L$33:$AL$33)</f>
        <v>529.62500655318729</v>
      </c>
      <c r="AP33" s="13">
        <f>IF((1 - CUSTOS!$M$28)&lt;&gt;0,1/(1 - CUSTOS!$M$28),1)</f>
        <v>1</v>
      </c>
    </row>
    <row r="34" spans="1:42" ht="11.25" customHeight="1" x14ac:dyDescent="0.25">
      <c r="A34" s="101"/>
      <c r="B34" s="101" t="s">
        <v>87</v>
      </c>
      <c r="C34" s="101" t="s">
        <v>41</v>
      </c>
      <c r="D34" s="101" t="s">
        <v>90</v>
      </c>
      <c r="E34" s="101" t="s">
        <v>25</v>
      </c>
      <c r="F34" s="101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1.3146544314818196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90.381407357674803</v>
      </c>
      <c r="R34" s="13">
        <f>'TR TUSD'!$R$34*'TR TUSD'!$R$60</f>
        <v>14.277343465726158</v>
      </c>
      <c r="S34" s="13">
        <f>'TR TUSD'!$S$34*'TR TUSD'!$S$60</f>
        <v>0</v>
      </c>
      <c r="T34" s="13">
        <f ca="1">SUM($L$34:$S$34)</f>
        <v>105.97340525488278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365.71835721997871</v>
      </c>
      <c r="Z34" s="13">
        <f>'TR TUSD'!$Z$34</f>
        <v>0</v>
      </c>
      <c r="AA34" s="13">
        <f>'TR TUSD'!$AA$34</f>
        <v>0</v>
      </c>
      <c r="AB34" s="13">
        <f>SUM($U$34:$AA$34)</f>
        <v>365.71835721997871</v>
      </c>
      <c r="AC34" s="13">
        <f>'TR TUSD'!$AC$34*'TR TUSD'!$AC$60</f>
        <v>900.84147096348568</v>
      </c>
      <c r="AD34" s="13">
        <f>SUM($AC$34:$AC$34)</f>
        <v>900.84147096348568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14.755610209546267</v>
      </c>
      <c r="AI34" s="13">
        <f>'TR TUSD'!$AI$34*'TR TUSD'!$AI$60</f>
        <v>0.33329428661958072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15.088904496165847</v>
      </c>
      <c r="AM34" s="13">
        <f ca="1">SUMIF($L$4:$AL$4,"SUBTOTAL",$L$34:$AL$34)</f>
        <v>1387.6221379345131</v>
      </c>
      <c r="AP34" s="13">
        <f>IF((1 - CUSTOS!$M$29)&lt;&gt;0,1/(1 - CUSTOS!$M$29),1)</f>
        <v>1</v>
      </c>
    </row>
    <row r="35" spans="1:42" ht="11.25" customHeight="1" x14ac:dyDescent="0.25">
      <c r="A35" s="101"/>
      <c r="B35" s="101"/>
      <c r="C35" s="101"/>
      <c r="D35" s="101"/>
      <c r="E35" s="101"/>
      <c r="F35" s="101"/>
      <c r="G35" s="18" t="s">
        <v>85</v>
      </c>
      <c r="H35" s="18" t="s">
        <v>73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1.3146544314818196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90.381407357674803</v>
      </c>
      <c r="R35" s="13">
        <f>'TR TUSD'!$R$35*'TR TUSD'!$R$60</f>
        <v>14.277343465726158</v>
      </c>
      <c r="S35" s="13">
        <f>'TR TUSD'!$S$35*'TR TUSD'!$S$60</f>
        <v>0</v>
      </c>
      <c r="T35" s="13">
        <f ca="1">SUM($L$35:$S$35)</f>
        <v>105.97340525488278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219.43310218262644</v>
      </c>
      <c r="Z35" s="13">
        <f>'TR TUSD'!$Z$35</f>
        <v>0</v>
      </c>
      <c r="AA35" s="13">
        <f>'TR TUSD'!$AA$35</f>
        <v>0</v>
      </c>
      <c r="AB35" s="13">
        <f>SUM($U$35:$AA$35)</f>
        <v>219.43310218262644</v>
      </c>
      <c r="AC35" s="13">
        <f>'TR TUSD'!$AC$35*'TR TUSD'!$AC$60</f>
        <v>540.5048537798566</v>
      </c>
      <c r="AD35" s="13">
        <f>SUM($AC$35:$AC$35)</f>
        <v>540.5048537798566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14.755610209546267</v>
      </c>
      <c r="AI35" s="13">
        <f>'TR TUSD'!$AI$35*'TR TUSD'!$AI$60</f>
        <v>0.33329428661958072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15.088904496165847</v>
      </c>
      <c r="AM35" s="13">
        <f ca="1">SUMIF($L$4:$AL$4,"SUBTOTAL",$L$35:$AL$35)</f>
        <v>881.00026571353158</v>
      </c>
      <c r="AP35" s="13">
        <f>IF((1 - CUSTOS!$M$29)&lt;&gt;0,1/(1 - CUSTOS!$M$29),1)</f>
        <v>1</v>
      </c>
    </row>
    <row r="36" spans="1:42" ht="11.25" customHeight="1" x14ac:dyDescent="0.25">
      <c r="A36" s="101"/>
      <c r="B36" s="101"/>
      <c r="C36" s="101"/>
      <c r="D36" s="101"/>
      <c r="E36" s="101"/>
      <c r="F36" s="101"/>
      <c r="G36" s="18" t="s">
        <v>75</v>
      </c>
      <c r="H36" s="18" t="s">
        <v>73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1.3146544314818196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90.381407357674803</v>
      </c>
      <c r="R36" s="13">
        <f>'TR TUSD'!$R$36*'TR TUSD'!$R$60</f>
        <v>14.277343465726158</v>
      </c>
      <c r="S36" s="13">
        <f>'TR TUSD'!$S$36*'TR TUSD'!$S$60</f>
        <v>0</v>
      </c>
      <c r="T36" s="13">
        <f ca="1">SUM($L$36:$S$36)</f>
        <v>105.97340525488278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73.147847145274199</v>
      </c>
      <c r="Z36" s="13">
        <f>'TR TUSD'!$Z$36</f>
        <v>0</v>
      </c>
      <c r="AA36" s="13">
        <f>'TR TUSD'!$AA$36</f>
        <v>0</v>
      </c>
      <c r="AB36" s="13">
        <f>SUM($U$36:$AA$36)</f>
        <v>73.147847145274199</v>
      </c>
      <c r="AC36" s="13">
        <f>'TR TUSD'!$AC$36*'TR TUSD'!$AC$60</f>
        <v>180.1682365962275</v>
      </c>
      <c r="AD36" s="13">
        <f>SUM($AC$36:$AC$36)</f>
        <v>180.1682365962275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14.755610209546267</v>
      </c>
      <c r="AI36" s="13">
        <f>'TR TUSD'!$AI$36*'TR TUSD'!$AI$60</f>
        <v>0.33329428661958072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15.088904496165847</v>
      </c>
      <c r="AM36" s="13">
        <f ca="1">SUMIF($L$4:$AL$4,"SUBTOTAL",$L$36:$AL$36)</f>
        <v>374.37839349255034</v>
      </c>
      <c r="AP36" s="13">
        <f>IF((1 - CUSTOS!$M$29)&lt;&gt;0,1/(1 - CUSTOS!$M$29),1)</f>
        <v>1</v>
      </c>
    </row>
    <row r="37" spans="1:42" ht="11.25" customHeight="1" x14ac:dyDescent="0.25">
      <c r="A37" s="101"/>
      <c r="B37" s="17" t="s">
        <v>23</v>
      </c>
      <c r="C37" s="17" t="s">
        <v>41</v>
      </c>
      <c r="D37" s="17" t="s">
        <v>90</v>
      </c>
      <c r="E37" s="17" t="s">
        <v>25</v>
      </c>
      <c r="F37" s="17" t="s">
        <v>25</v>
      </c>
      <c r="G37" s="18" t="s">
        <v>79</v>
      </c>
      <c r="H37" s="18" t="s">
        <v>73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1.3146544314818196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90.381407357674803</v>
      </c>
      <c r="R37" s="13">
        <f>'TR TUSD'!$R$37*'TR TUSD'!$R$60</f>
        <v>14.277343465726158</v>
      </c>
      <c r="S37" s="13">
        <f>'TR TUSD'!$S$37*'TR TUSD'!$S$60</f>
        <v>0</v>
      </c>
      <c r="T37" s="13">
        <f ca="1">SUM($L$37:$S$37)</f>
        <v>105.97340525488278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117.96878074285301</v>
      </c>
      <c r="Z37" s="13">
        <f>'TR TUSD'!$Z$37</f>
        <v>0</v>
      </c>
      <c r="AA37" s="13">
        <f>'TR TUSD'!$AA$37</f>
        <v>0</v>
      </c>
      <c r="AB37" s="13">
        <f>SUM($U$37:$AA$37)</f>
        <v>117.96878074285301</v>
      </c>
      <c r="AC37" s="13">
        <f>'TR TUSD'!$AC$37*'TR TUSD'!$AC$60</f>
        <v>290.59391605928562</v>
      </c>
      <c r="AD37" s="13">
        <f>SUM($AC$37:$AC$37)</f>
        <v>290.59391605928562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14.755610209546267</v>
      </c>
      <c r="AI37" s="13">
        <f>'TR TUSD'!$AI$37*'TR TUSD'!$AI$60</f>
        <v>0.33329428661958072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15.088904496165847</v>
      </c>
      <c r="AM37" s="13">
        <f ca="1">SUMIF($L$4:$AL$4,"SUBTOTAL",$L$37:$AL$37)</f>
        <v>529.62500655318729</v>
      </c>
      <c r="AP37" s="13">
        <f>IF((1 - CUSTOS!$M$29)&lt;&gt;0,1/(1 - CUSTOS!$M$29),1)</f>
        <v>1</v>
      </c>
    </row>
    <row r="38" spans="1:42" ht="11.25" customHeight="1" x14ac:dyDescent="0.25">
      <c r="A38" s="101"/>
      <c r="B38" s="101" t="s">
        <v>87</v>
      </c>
      <c r="C38" s="101" t="s">
        <v>41</v>
      </c>
      <c r="D38" s="101" t="s">
        <v>91</v>
      </c>
      <c r="E38" s="101" t="s">
        <v>25</v>
      </c>
      <c r="F38" s="101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1.3146544314818196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90.381407357674803</v>
      </c>
      <c r="R38" s="13">
        <f>'TR TUSD'!$R$38*'TR TUSD'!$R$60</f>
        <v>14.277343465726158</v>
      </c>
      <c r="S38" s="13">
        <f>'TR TUSD'!$S$38*'TR TUSD'!$S$60</f>
        <v>0</v>
      </c>
      <c r="T38" s="13">
        <f ca="1">SUM($L$38:$S$38)</f>
        <v>105.97340525488278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365.71835721997871</v>
      </c>
      <c r="Z38" s="13">
        <f>'TR TUSD'!$Z$38</f>
        <v>0</v>
      </c>
      <c r="AA38" s="13">
        <f>'TR TUSD'!$AA$38</f>
        <v>0</v>
      </c>
      <c r="AB38" s="13">
        <f>SUM($U$38:$AA$38)</f>
        <v>365.71835721997871</v>
      </c>
      <c r="AC38" s="13">
        <f>'TR TUSD'!$AC$38*'TR TUSD'!$AC$60</f>
        <v>900.84147096348568</v>
      </c>
      <c r="AD38" s="13">
        <f>SUM($AC$38:$AC$38)</f>
        <v>900.84147096348568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14.755610209546267</v>
      </c>
      <c r="AI38" s="13">
        <f>'TR TUSD'!$AI$38*'TR TUSD'!$AI$60</f>
        <v>0.33329428661958072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15.088904496165847</v>
      </c>
      <c r="AM38" s="13">
        <f ca="1">SUMIF($L$4:$AL$4,"SUBTOTAL",$L$38:$AL$38)</f>
        <v>1387.6221379345131</v>
      </c>
      <c r="AP38" s="13">
        <f>IF((1 - CUSTOS!$M$30)&lt;&gt;0,1/(1 - CUSTOS!$M$30),1)</f>
        <v>1</v>
      </c>
    </row>
    <row r="39" spans="1:42" ht="11.25" customHeight="1" x14ac:dyDescent="0.25">
      <c r="A39" s="101"/>
      <c r="B39" s="101"/>
      <c r="C39" s="101"/>
      <c r="D39" s="101"/>
      <c r="E39" s="101"/>
      <c r="F39" s="101"/>
      <c r="G39" s="18" t="s">
        <v>85</v>
      </c>
      <c r="H39" s="18" t="s">
        <v>73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1.3146544314818196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90.381407357674803</v>
      </c>
      <c r="R39" s="13">
        <f>'TR TUSD'!$R$39*'TR TUSD'!$R$60</f>
        <v>14.277343465726158</v>
      </c>
      <c r="S39" s="13">
        <f>'TR TUSD'!$S$39*'TR TUSD'!$S$60</f>
        <v>0</v>
      </c>
      <c r="T39" s="13">
        <f ca="1">SUM($L$39:$S$39)</f>
        <v>105.97340525488278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219.43310218262644</v>
      </c>
      <c r="Z39" s="13">
        <f>'TR TUSD'!$Z$39</f>
        <v>0</v>
      </c>
      <c r="AA39" s="13">
        <f>'TR TUSD'!$AA$39</f>
        <v>0</v>
      </c>
      <c r="AB39" s="13">
        <f>SUM($U$39:$AA$39)</f>
        <v>219.43310218262644</v>
      </c>
      <c r="AC39" s="13">
        <f>'TR TUSD'!$AC$39*'TR TUSD'!$AC$60</f>
        <v>540.5048537798566</v>
      </c>
      <c r="AD39" s="13">
        <f>SUM($AC$39:$AC$39)</f>
        <v>540.5048537798566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14.755610209546267</v>
      </c>
      <c r="AI39" s="13">
        <f>'TR TUSD'!$AI$39*'TR TUSD'!$AI$60</f>
        <v>0.33329428661958072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15.088904496165847</v>
      </c>
      <c r="AM39" s="13">
        <f ca="1">SUMIF($L$4:$AL$4,"SUBTOTAL",$L$39:$AL$39)</f>
        <v>881.00026571353158</v>
      </c>
      <c r="AP39" s="13">
        <f>IF((1 - CUSTOS!$M$30)&lt;&gt;0,1/(1 - CUSTOS!$M$30),1)</f>
        <v>1</v>
      </c>
    </row>
    <row r="40" spans="1:42" ht="11.25" customHeight="1" x14ac:dyDescent="0.25">
      <c r="A40" s="101"/>
      <c r="B40" s="101"/>
      <c r="C40" s="101"/>
      <c r="D40" s="101"/>
      <c r="E40" s="101"/>
      <c r="F40" s="101"/>
      <c r="G40" s="18" t="s">
        <v>75</v>
      </c>
      <c r="H40" s="18" t="s">
        <v>73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1.3146544314818196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90.381407357674803</v>
      </c>
      <c r="R40" s="13">
        <f>'TR TUSD'!$R$40*'TR TUSD'!$R$60</f>
        <v>14.277343465726158</v>
      </c>
      <c r="S40" s="13">
        <f>'TR TUSD'!$S$40*'TR TUSD'!$S$60</f>
        <v>0</v>
      </c>
      <c r="T40" s="13">
        <f ca="1">SUM($L$40:$S$40)</f>
        <v>105.97340525488278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73.147847145274199</v>
      </c>
      <c r="Z40" s="13">
        <f>'TR TUSD'!$Z$40</f>
        <v>0</v>
      </c>
      <c r="AA40" s="13">
        <f>'TR TUSD'!$AA$40</f>
        <v>0</v>
      </c>
      <c r="AB40" s="13">
        <f>SUM($U$40:$AA$40)</f>
        <v>73.147847145274199</v>
      </c>
      <c r="AC40" s="13">
        <f>'TR TUSD'!$AC$40*'TR TUSD'!$AC$60</f>
        <v>180.1682365962275</v>
      </c>
      <c r="AD40" s="13">
        <f>SUM($AC$40:$AC$40)</f>
        <v>180.1682365962275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14.755610209546267</v>
      </c>
      <c r="AI40" s="13">
        <f>'TR TUSD'!$AI$40*'TR TUSD'!$AI$60</f>
        <v>0.33329428661958072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15.088904496165847</v>
      </c>
      <c r="AM40" s="13">
        <f ca="1">SUMIF($L$4:$AL$4,"SUBTOTAL",$L$40:$AL$40)</f>
        <v>374.37839349255034</v>
      </c>
      <c r="AP40" s="13">
        <f>IF((1 - CUSTOS!$M$30)&lt;&gt;0,1/(1 - CUSTOS!$M$30),1)</f>
        <v>1</v>
      </c>
    </row>
    <row r="41" spans="1:42" ht="11.25" customHeight="1" x14ac:dyDescent="0.25">
      <c r="A41" s="101"/>
      <c r="B41" s="17" t="s">
        <v>23</v>
      </c>
      <c r="C41" s="17" t="s">
        <v>41</v>
      </c>
      <c r="D41" s="17" t="s">
        <v>91</v>
      </c>
      <c r="E41" s="17" t="s">
        <v>25</v>
      </c>
      <c r="F41" s="17" t="s">
        <v>25</v>
      </c>
      <c r="G41" s="18" t="s">
        <v>79</v>
      </c>
      <c r="H41" s="18" t="s">
        <v>73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1.3146544314818196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90.381407357674803</v>
      </c>
      <c r="R41" s="13">
        <f>'TR TUSD'!$R$41*'TR TUSD'!$R$60</f>
        <v>14.277343465726158</v>
      </c>
      <c r="S41" s="13">
        <f>'TR TUSD'!$S$41*'TR TUSD'!$S$60</f>
        <v>0</v>
      </c>
      <c r="T41" s="13">
        <f ca="1">SUM($L$41:$S$41)</f>
        <v>105.97340525488278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117.96878074285301</v>
      </c>
      <c r="Z41" s="13">
        <f>'TR TUSD'!$Z$41</f>
        <v>0</v>
      </c>
      <c r="AA41" s="13">
        <f>'TR TUSD'!$AA$41</f>
        <v>0</v>
      </c>
      <c r="AB41" s="13">
        <f>SUM($U$41:$AA$41)</f>
        <v>117.96878074285301</v>
      </c>
      <c r="AC41" s="13">
        <f>'TR TUSD'!$AC$41*'TR TUSD'!$AC$60</f>
        <v>290.59391605928562</v>
      </c>
      <c r="AD41" s="13">
        <f>SUM($AC$41:$AC$41)</f>
        <v>290.59391605928562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14.755610209546267</v>
      </c>
      <c r="AI41" s="13">
        <f>'TR TUSD'!$AI$41*'TR TUSD'!$AI$60</f>
        <v>0.33329428661958072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15.088904496165847</v>
      </c>
      <c r="AM41" s="13">
        <f ca="1">SUMIF($L$4:$AL$4,"SUBTOTAL",$L$41:$AL$41)</f>
        <v>529.62500655318729</v>
      </c>
      <c r="AP41" s="13">
        <f>IF((1 - CUSTOS!$M$30)&lt;&gt;0,1/(1 - CUSTOS!$M$30),1)</f>
        <v>1</v>
      </c>
    </row>
    <row r="42" spans="1:42" ht="11.25" customHeight="1" x14ac:dyDescent="0.25">
      <c r="A42" s="101"/>
      <c r="B42" s="101" t="s">
        <v>89</v>
      </c>
      <c r="C42" s="101" t="s">
        <v>41</v>
      </c>
      <c r="D42" s="17" t="s">
        <v>25</v>
      </c>
      <c r="E42" s="17" t="s">
        <v>25</v>
      </c>
      <c r="F42" s="17" t="s">
        <v>25</v>
      </c>
      <c r="G42" s="18" t="s">
        <v>79</v>
      </c>
      <c r="H42" s="18" t="s">
        <v>73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1.3146544314818196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90.381407357674803</v>
      </c>
      <c r="R42" s="13">
        <f>'TR TUSD'!$R$42*'TR TUSD'!$R$60</f>
        <v>14.277343465726158</v>
      </c>
      <c r="S42" s="13">
        <f>'TR TUSD'!$S$42*'TR TUSD'!$S$60</f>
        <v>0</v>
      </c>
      <c r="T42" s="13">
        <f ca="1">SUM($L$42:$S$42)</f>
        <v>105.97340525488278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117.96878074285301</v>
      </c>
      <c r="Z42" s="13">
        <f>'TR TUSD'!$Z$42</f>
        <v>0</v>
      </c>
      <c r="AA42" s="13">
        <f>'TR TUSD'!$AA$42</f>
        <v>0</v>
      </c>
      <c r="AB42" s="13">
        <f>SUM($U$42:$AA$42)</f>
        <v>117.96878074285301</v>
      </c>
      <c r="AC42" s="13">
        <f>'TR TUSD'!$AC$42*'TR TUSD'!$AC$60</f>
        <v>290.59391605928562</v>
      </c>
      <c r="AD42" s="13">
        <f>SUM($AC$42:$AC$42)</f>
        <v>290.59391605928562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14.755610209546267</v>
      </c>
      <c r="AI42" s="13">
        <f>'TR TUSD'!$AI$42*'TR TUSD'!$AI$60</f>
        <v>0.33329428661958072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15.088904496165847</v>
      </c>
      <c r="AM42" s="13">
        <f ca="1">SUMIF($L$4:$AL$4,"SUBTOTAL",$L$42:$AL$42)</f>
        <v>529.62500655318729</v>
      </c>
      <c r="AP42" s="13">
        <f>IF((1 - CUSTOS!$M$28)&lt;&gt;0,1/(1 - CUSTOS!$M$28),1)</f>
        <v>1</v>
      </c>
    </row>
    <row r="43" spans="1:42" ht="11.25" customHeight="1" x14ac:dyDescent="0.25">
      <c r="A43" s="101"/>
      <c r="B43" s="101"/>
      <c r="C43" s="101"/>
      <c r="D43" s="17" t="s">
        <v>90</v>
      </c>
      <c r="E43" s="17" t="s">
        <v>25</v>
      </c>
      <c r="F43" s="17" t="s">
        <v>25</v>
      </c>
      <c r="G43" s="18" t="s">
        <v>79</v>
      </c>
      <c r="H43" s="18" t="s">
        <v>73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1.3146544314818196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90.381407357674803</v>
      </c>
      <c r="R43" s="13">
        <f>'TR TUSD'!$R$43*'TR TUSD'!$R$60</f>
        <v>14.277343465726158</v>
      </c>
      <c r="S43" s="13">
        <f>'TR TUSD'!$S$43*'TR TUSD'!$S$60</f>
        <v>0</v>
      </c>
      <c r="T43" s="13">
        <f ca="1">SUM($L$43:$S$43)</f>
        <v>105.97340525488278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117.96878074285301</v>
      </c>
      <c r="Z43" s="13">
        <f>'TR TUSD'!$Z$43</f>
        <v>0</v>
      </c>
      <c r="AA43" s="13">
        <f>'TR TUSD'!$AA$43</f>
        <v>0</v>
      </c>
      <c r="AB43" s="13">
        <f>SUM($U$43:$AA$43)</f>
        <v>117.96878074285301</v>
      </c>
      <c r="AC43" s="13">
        <f>'TR TUSD'!$AC$43*'TR TUSD'!$AC$60</f>
        <v>290.59391605928562</v>
      </c>
      <c r="AD43" s="13">
        <f>SUM($AC$43:$AC$43)</f>
        <v>290.59391605928562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14.755610209546267</v>
      </c>
      <c r="AI43" s="13">
        <f>'TR TUSD'!$AI$43*'TR TUSD'!$AI$60</f>
        <v>0.33329428661958072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15.088904496165847</v>
      </c>
      <c r="AM43" s="13">
        <f ca="1">SUMIF($L$4:$AL$4,"SUBTOTAL",$L$43:$AL$43)</f>
        <v>529.62500655318729</v>
      </c>
      <c r="AP43" s="13">
        <f>IF((1 - CUSTOS!$M$29)&lt;&gt;0,1/(1 - CUSTOS!$M$29),1)</f>
        <v>1</v>
      </c>
    </row>
    <row r="44" spans="1:42" ht="11.25" customHeight="1" x14ac:dyDescent="0.25">
      <c r="A44" s="101"/>
      <c r="B44" s="101"/>
      <c r="C44" s="101"/>
      <c r="D44" s="17" t="s">
        <v>91</v>
      </c>
      <c r="E44" s="17" t="s">
        <v>25</v>
      </c>
      <c r="F44" s="17" t="s">
        <v>25</v>
      </c>
      <c r="G44" s="18" t="s">
        <v>79</v>
      </c>
      <c r="H44" s="18" t="s">
        <v>73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1.3146544314818196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90.381407357674803</v>
      </c>
      <c r="R44" s="13">
        <f>'TR TUSD'!$R$44*'TR TUSD'!$R$60</f>
        <v>14.277343465726158</v>
      </c>
      <c r="S44" s="13">
        <f>'TR TUSD'!$S$44*'TR TUSD'!$S$60</f>
        <v>0</v>
      </c>
      <c r="T44" s="13">
        <f ca="1">SUM($L$44:$S$44)</f>
        <v>105.97340525488278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117.96878074285301</v>
      </c>
      <c r="Z44" s="13">
        <f>'TR TUSD'!$Z$44</f>
        <v>0</v>
      </c>
      <c r="AA44" s="13">
        <f>'TR TUSD'!$AA$44</f>
        <v>0</v>
      </c>
      <c r="AB44" s="13">
        <f>SUM($U$44:$AA$44)</f>
        <v>117.96878074285301</v>
      </c>
      <c r="AC44" s="13">
        <f>'TR TUSD'!$AC$44*'TR TUSD'!$AC$60</f>
        <v>290.59391605928562</v>
      </c>
      <c r="AD44" s="13">
        <f>SUM($AC$44:$AC$44)</f>
        <v>290.59391605928562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14.755610209546267</v>
      </c>
      <c r="AI44" s="13">
        <f>'TR TUSD'!$AI$44*'TR TUSD'!$AI$60</f>
        <v>0.33329428661958072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15.088904496165847</v>
      </c>
      <c r="AM44" s="13">
        <f ca="1">SUMIF($L$4:$AL$4,"SUBTOTAL",$L$44:$AL$44)</f>
        <v>529.62500655318729</v>
      </c>
      <c r="AP44" s="13">
        <f>IF((1 - CUSTOS!$M$30)&lt;&gt;0,1/(1 - CUSTOS!$M$30),1)</f>
        <v>1</v>
      </c>
    </row>
    <row r="45" spans="1:42" ht="11.25" customHeight="1" x14ac:dyDescent="0.25">
      <c r="A45" s="101" t="s">
        <v>33</v>
      </c>
      <c r="B45" s="101" t="s">
        <v>87</v>
      </c>
      <c r="C45" s="101" t="s">
        <v>25</v>
      </c>
      <c r="D45" s="101" t="s">
        <v>25</v>
      </c>
      <c r="E45" s="101" t="s">
        <v>25</v>
      </c>
      <c r="F45" s="101" t="s">
        <v>25</v>
      </c>
      <c r="G45" s="18" t="s">
        <v>74</v>
      </c>
      <c r="H45" s="18" t="s">
        <v>73</v>
      </c>
      <c r="I45" s="18">
        <f>'MERCADO TUSD'!$U$42</f>
        <v>0</v>
      </c>
      <c r="J45" s="15"/>
      <c r="L45" s="13">
        <f>'TR TUSD'!$L$45*'TR TUSD'!$L$60</f>
        <v>0</v>
      </c>
      <c r="M45" s="13">
        <f>'TR TUSD'!$M$45*'TR TUSD'!$M$60</f>
        <v>1.3146544314818196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90.381407357674803</v>
      </c>
      <c r="R45" s="13">
        <f>'TR TUSD'!$R$45*'TR TUSD'!$R$60</f>
        <v>14.277343465726158</v>
      </c>
      <c r="S45" s="13">
        <f>'TR TUSD'!$S$45*'TR TUSD'!$S$60</f>
        <v>0</v>
      </c>
      <c r="T45" s="13">
        <f ca="1">SUM($L$45:$S$45)</f>
        <v>105.97340525488278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377.50949370500615</v>
      </c>
      <c r="Z45" s="13">
        <f>'TR TUSD'!$Z$45</f>
        <v>0</v>
      </c>
      <c r="AA45" s="13">
        <f>'TR TUSD'!$AA$45</f>
        <v>0</v>
      </c>
      <c r="AB45" s="13">
        <f>SUM($U$45:$AA$45)</f>
        <v>377.50949370500615</v>
      </c>
      <c r="AC45" s="13">
        <f>'TR TUSD'!$AC$45*'TR TUSD'!$AC$60</f>
        <v>929.90076177559229</v>
      </c>
      <c r="AD45" s="13">
        <f>SUM($AC$45:$AC$45)</f>
        <v>929.90076177559229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14.755610209546267</v>
      </c>
      <c r="AI45" s="13">
        <f>'TR TUSD'!$AI$45*'TR TUSD'!$AI$60</f>
        <v>0.33329428661958072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15.088904496165847</v>
      </c>
      <c r="AM45" s="13">
        <f ca="1">SUMIF($L$4:$AL$4,"SUBTOTAL",$L$45:$AL$45)</f>
        <v>1428.4725652316472</v>
      </c>
      <c r="AP45" s="13">
        <f>IF((1 - CUSTOS!$M$31)&lt;&gt;0,1/(1 - CUSTOS!$M$31),1)</f>
        <v>1</v>
      </c>
    </row>
    <row r="46" spans="1:42" ht="11.25" customHeight="1" x14ac:dyDescent="0.25">
      <c r="A46" s="101"/>
      <c r="B46" s="101"/>
      <c r="C46" s="101"/>
      <c r="D46" s="101"/>
      <c r="E46" s="101"/>
      <c r="F46" s="101"/>
      <c r="G46" s="18" t="s">
        <v>85</v>
      </c>
      <c r="H46" s="18" t="s">
        <v>73</v>
      </c>
      <c r="I46" s="18">
        <f>'MERCADO TUSD'!$U$43</f>
        <v>0</v>
      </c>
      <c r="J46" s="15"/>
      <c r="L46" s="13">
        <f>'TR TUSD'!$L$46*'TR TUSD'!$L$60</f>
        <v>0</v>
      </c>
      <c r="M46" s="13">
        <f>'TR TUSD'!$M$46*'TR TUSD'!$M$60</f>
        <v>1.3146544314818196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90.381407357674803</v>
      </c>
      <c r="R46" s="13">
        <f>'TR TUSD'!$R$46*'TR TUSD'!$R$60</f>
        <v>14.277343465726158</v>
      </c>
      <c r="S46" s="13">
        <f>'TR TUSD'!$S$46*'TR TUSD'!$S$60</f>
        <v>0</v>
      </c>
      <c r="T46" s="13">
        <f ca="1">SUM($L$46:$S$46)</f>
        <v>105.97340525488278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226.51091584960173</v>
      </c>
      <c r="Z46" s="13">
        <f>'TR TUSD'!$Z$46</f>
        <v>0</v>
      </c>
      <c r="AA46" s="13">
        <f>'TR TUSD'!$AA$46</f>
        <v>0</v>
      </c>
      <c r="AB46" s="13">
        <f>SUM($U$46:$AA$46)</f>
        <v>226.51091584960173</v>
      </c>
      <c r="AC46" s="13">
        <f>'TR TUSD'!$AC$46*'TR TUSD'!$AC$60</f>
        <v>557.94045706535542</v>
      </c>
      <c r="AD46" s="13">
        <f>SUM($AC$46:$AC$46)</f>
        <v>557.94045706535542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14.755610209546267</v>
      </c>
      <c r="AI46" s="13">
        <f>'TR TUSD'!$AI$46*'TR TUSD'!$AI$60</f>
        <v>0.33329428661958072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15.088904496165847</v>
      </c>
      <c r="AM46" s="13">
        <f ca="1">SUMIF($L$4:$AL$4,"SUBTOTAL",$L$46:$AL$46)</f>
        <v>905.51368266600571</v>
      </c>
      <c r="AP46" s="13">
        <f>IF((1 - CUSTOS!$M$31)&lt;&gt;0,1/(1 - CUSTOS!$M$31),1)</f>
        <v>1</v>
      </c>
    </row>
    <row r="47" spans="1:42" ht="11.25" customHeight="1" x14ac:dyDescent="0.25">
      <c r="A47" s="101"/>
      <c r="B47" s="101"/>
      <c r="C47" s="101"/>
      <c r="D47" s="101"/>
      <c r="E47" s="101"/>
      <c r="F47" s="101"/>
      <c r="G47" s="18" t="s">
        <v>75</v>
      </c>
      <c r="H47" s="18" t="s">
        <v>73</v>
      </c>
      <c r="I47" s="18">
        <f>'MERCADO TUSD'!$U$44</f>
        <v>0</v>
      </c>
      <c r="J47" s="15"/>
      <c r="L47" s="13">
        <f>'TR TUSD'!$L$47*'TR TUSD'!$L$60</f>
        <v>0</v>
      </c>
      <c r="M47" s="13">
        <f>'TR TUSD'!$M$47*'TR TUSD'!$M$60</f>
        <v>1.3146544314818196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90.381407357674803</v>
      </c>
      <c r="R47" s="13">
        <f>'TR TUSD'!$R$47*'TR TUSD'!$R$60</f>
        <v>14.277343465726158</v>
      </c>
      <c r="S47" s="13">
        <f>'TR TUSD'!$S$47*'TR TUSD'!$S$60</f>
        <v>0</v>
      </c>
      <c r="T47" s="13">
        <f ca="1">SUM($L$47:$S$47)</f>
        <v>105.97340525488278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75.501898741001227</v>
      </c>
      <c r="Z47" s="13">
        <f>'TR TUSD'!$Z$47</f>
        <v>0</v>
      </c>
      <c r="AA47" s="13">
        <f>'TR TUSD'!$AA$47</f>
        <v>0</v>
      </c>
      <c r="AB47" s="13">
        <f>SUM($U$47:$AA$47)</f>
        <v>75.501898741001227</v>
      </c>
      <c r="AC47" s="13">
        <f>'TR TUSD'!$AC$47*'TR TUSD'!$AC$60</f>
        <v>185.98015235511846</v>
      </c>
      <c r="AD47" s="13">
        <f>SUM($AC$47:$AC$47)</f>
        <v>185.98015235511846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14.755610209546267</v>
      </c>
      <c r="AI47" s="13">
        <f>'TR TUSD'!$AI$47*'TR TUSD'!$AI$60</f>
        <v>0.33329428661958072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15.088904496165847</v>
      </c>
      <c r="AM47" s="13">
        <f ca="1">SUMIF($L$4:$AL$4,"SUBTOTAL",$L$47:$AL$47)</f>
        <v>382.54436084716832</v>
      </c>
      <c r="AP47" s="13">
        <f>IF((1 - CUSTOS!$M$31)&lt;&gt;0,1/(1 - CUSTOS!$M$31),1)</f>
        <v>1</v>
      </c>
    </row>
    <row r="48" spans="1:42" ht="11.25" customHeight="1" x14ac:dyDescent="0.25">
      <c r="A48" s="101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79</v>
      </c>
      <c r="H48" s="18" t="s">
        <v>73</v>
      </c>
      <c r="I48" s="18">
        <f>'MERCADO TUSD'!$U$45</f>
        <v>2202.5430000000001</v>
      </c>
      <c r="J48" s="15"/>
      <c r="L48" s="13">
        <f>'TR TUSD'!$L$48*'TR TUSD'!$L$60</f>
        <v>0</v>
      </c>
      <c r="M48" s="13">
        <f>'TR TUSD'!$M$48*'TR TUSD'!$M$60</f>
        <v>1.3146544314818196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90.381407357674803</v>
      </c>
      <c r="R48" s="13">
        <f>'TR TUSD'!$R$48*'TR TUSD'!$R$60</f>
        <v>14.277343465726158</v>
      </c>
      <c r="S48" s="13">
        <f>'TR TUSD'!$S$48*'TR TUSD'!$S$60</f>
        <v>0</v>
      </c>
      <c r="T48" s="13">
        <f ca="1">SUM($L$48:$S$48)</f>
        <v>105.97340525488278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117.96878074285301</v>
      </c>
      <c r="Z48" s="13">
        <f>'TR TUSD'!$Z$48</f>
        <v>0</v>
      </c>
      <c r="AA48" s="13">
        <f>'TR TUSD'!$AA$48</f>
        <v>0</v>
      </c>
      <c r="AB48" s="13">
        <f>SUM($U$48:$AA$48)</f>
        <v>117.96878074285301</v>
      </c>
      <c r="AC48" s="13">
        <f>'TR TUSD'!$AC$48*'TR TUSD'!$AC$60</f>
        <v>290.59391605928562</v>
      </c>
      <c r="AD48" s="13">
        <f>SUM($AC$48:$AC$48)</f>
        <v>290.59391605928562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14.755610209546267</v>
      </c>
      <c r="AI48" s="13">
        <f>'TR TUSD'!$AI$48*'TR TUSD'!$AI$60</f>
        <v>0.33329428661958072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15.088904496165847</v>
      </c>
      <c r="AM48" s="13">
        <f ca="1">SUMIF($L$4:$AL$4,"SUBTOTAL",$L$48:$AL$48)</f>
        <v>529.62500655318729</v>
      </c>
      <c r="AP48" s="13">
        <f>IF((1 - CUSTOS!$M$31)&lt;&gt;0,1/(1 - CUSTOS!$M$31),1)</f>
        <v>1</v>
      </c>
    </row>
    <row r="49" spans="1:42" ht="11.25" customHeight="1" x14ac:dyDescent="0.25">
      <c r="A49" s="101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79</v>
      </c>
      <c r="H49" s="18" t="s">
        <v>73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1.3146544314818196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90.381407357674803</v>
      </c>
      <c r="R49" s="13">
        <f>'TR TUSD'!$R$49*'TR TUSD'!$R$60</f>
        <v>14.277343465726158</v>
      </c>
      <c r="S49" s="13">
        <f>'TR TUSD'!$S$49*'TR TUSD'!$S$60</f>
        <v>0</v>
      </c>
      <c r="T49" s="13">
        <f ca="1">SUM($L$49:$S$49)</f>
        <v>105.97340525488278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117.96878074285301</v>
      </c>
      <c r="Z49" s="13">
        <f>'TR TUSD'!$Z$49</f>
        <v>0</v>
      </c>
      <c r="AA49" s="13">
        <f>'TR TUSD'!$AA$49</f>
        <v>0</v>
      </c>
      <c r="AB49" s="13">
        <f>SUM($U$49:$AA$49)</f>
        <v>117.96878074285301</v>
      </c>
      <c r="AC49" s="13">
        <f>'TR TUSD'!$AC$49*'TR TUSD'!$AC$60</f>
        <v>290.59391605928562</v>
      </c>
      <c r="AD49" s="13">
        <f>SUM($AC$49:$AC$49)</f>
        <v>290.59391605928562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14.755610209546267</v>
      </c>
      <c r="AI49" s="13">
        <f>'TR TUSD'!$AI$49*'TR TUSD'!$AI$60</f>
        <v>0.33329428661958072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15.088904496165847</v>
      </c>
      <c r="AM49" s="13">
        <f ca="1">SUMIF($L$4:$AL$4,"SUBTOTAL",$L$49:$AL$49)</f>
        <v>529.62500655318729</v>
      </c>
      <c r="AP49" s="13">
        <f>IF((1 - CUSTOS!$M$31)&lt;&gt;0,1/(1 - CUSTOS!$M$31),1)</f>
        <v>1</v>
      </c>
    </row>
    <row r="50" spans="1:42" ht="11.25" customHeight="1" x14ac:dyDescent="0.25">
      <c r="A50" s="101" t="s">
        <v>43</v>
      </c>
      <c r="B50" s="101" t="s">
        <v>23</v>
      </c>
      <c r="C50" s="101" t="s">
        <v>44</v>
      </c>
      <c r="D50" s="17" t="s">
        <v>45</v>
      </c>
      <c r="E50" s="17" t="s">
        <v>25</v>
      </c>
      <c r="F50" s="17" t="s">
        <v>25</v>
      </c>
      <c r="G50" s="18" t="s">
        <v>79</v>
      </c>
      <c r="H50" s="18" t="s">
        <v>73</v>
      </c>
      <c r="I50" s="18">
        <f>'MERCADO TUSD'!$U$47</f>
        <v>786.13800000000003</v>
      </c>
      <c r="J50" s="15"/>
      <c r="L50" s="13">
        <f>'TR TUSD'!$L$50*'TR TUSD'!$L$60</f>
        <v>0</v>
      </c>
      <c r="M50" s="13">
        <f>'TR TUSD'!$M$50*'TR TUSD'!$M$60</f>
        <v>0.72305993731500073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49.709774046721144</v>
      </c>
      <c r="R50" s="13">
        <f>'TR TUSD'!$R$50*'TR TUSD'!$R$60</f>
        <v>7.8525389061493875</v>
      </c>
      <c r="S50" s="13">
        <f>'TR TUSD'!$S$50*'TR TUSD'!$S$60</f>
        <v>0</v>
      </c>
      <c r="T50" s="13">
        <f ca="1">SUM($L$50:$S$50)</f>
        <v>58.285372890185528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64.882829408569151</v>
      </c>
      <c r="Z50" s="13">
        <f>'TR TUSD'!$Z$50</f>
        <v>0</v>
      </c>
      <c r="AA50" s="13">
        <f>'TR TUSD'!$AA$50</f>
        <v>0</v>
      </c>
      <c r="AB50" s="13">
        <f>SUM($U$50:$AA$50)</f>
        <v>64.882829408569151</v>
      </c>
      <c r="AC50" s="13">
        <f>'TR TUSD'!$AC$50*'TR TUSD'!$AC$60</f>
        <v>159.82665383260709</v>
      </c>
      <c r="AD50" s="13">
        <f>SUM($AC$50:$AC$50)</f>
        <v>159.82665383260709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8.1155856152504473</v>
      </c>
      <c r="AI50" s="13">
        <f>'TR TUSD'!$AI$50*'TR TUSD'!$AI$60</f>
        <v>0.1833118576407694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8.2988974728912162</v>
      </c>
      <c r="AM50" s="13">
        <f ca="1">SUMIF($L$4:$AL$4,"SUBTOTAL",$L$50:$AL$50)</f>
        <v>291.29375360425297</v>
      </c>
      <c r="AP50" s="13">
        <f>IF((1 - CUSTOS!$M$32)&lt;&gt;0,1/(1 - CUSTOS!$M$32),1)</f>
        <v>1.8181818181818181</v>
      </c>
    </row>
    <row r="51" spans="1:42" ht="11.25" customHeight="1" x14ac:dyDescent="0.25">
      <c r="A51" s="101"/>
      <c r="B51" s="101"/>
      <c r="C51" s="101"/>
      <c r="D51" s="18" t="s">
        <v>46</v>
      </c>
      <c r="E51" s="18" t="s">
        <v>25</v>
      </c>
      <c r="F51" s="18" t="s">
        <v>25</v>
      </c>
      <c r="G51" s="18" t="s">
        <v>79</v>
      </c>
      <c r="H51" s="18" t="s">
        <v>73</v>
      </c>
      <c r="I51" s="18">
        <f>'MERCADO TUSD'!$U$48</f>
        <v>25.399000000000001</v>
      </c>
      <c r="J51" s="15"/>
      <c r="L51" s="13">
        <f>'TR TUSD'!$L$51*'TR TUSD'!$L$60</f>
        <v>0</v>
      </c>
      <c r="M51" s="13">
        <f>'TR TUSD'!$M$51*'TR TUSD'!$M$60</f>
        <v>0.78879265888909167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54.228844414604879</v>
      </c>
      <c r="R51" s="13">
        <f>'TR TUSD'!$R$51*'TR TUSD'!$R$60</f>
        <v>8.5664060794356942</v>
      </c>
      <c r="S51" s="13">
        <f>'TR TUSD'!$S$51*'TR TUSD'!$S$60</f>
        <v>0</v>
      </c>
      <c r="T51" s="13">
        <f ca="1">SUM($L$51:$S$51)</f>
        <v>63.584043152929667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70.781268445711802</v>
      </c>
      <c r="Z51" s="13">
        <f>'TR TUSD'!$Z$51</f>
        <v>0</v>
      </c>
      <c r="AA51" s="13">
        <f>'TR TUSD'!$AA$51</f>
        <v>0</v>
      </c>
      <c r="AB51" s="13">
        <f>SUM($U$51:$AA$51)</f>
        <v>70.781268445711802</v>
      </c>
      <c r="AC51" s="13">
        <f>'TR TUSD'!$AC$51*'TR TUSD'!$AC$60</f>
        <v>174.35634963557135</v>
      </c>
      <c r="AD51" s="13">
        <f>SUM($AC$51:$AC$51)</f>
        <v>174.35634963557135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8.85336612572776</v>
      </c>
      <c r="AI51" s="13">
        <f>'TR TUSD'!$AI$51*'TR TUSD'!$AI$60</f>
        <v>0.19997657197174842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9.0533426976995077</v>
      </c>
      <c r="AM51" s="13">
        <f ca="1">SUMIF($L$4:$AL$4,"SUBTOTAL",$L$51:$AL$51)</f>
        <v>317.77500393191235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521</v>
      </c>
      <c r="L53" s="13">
        <f>SUMPRODUCT($I$5:$I51,$L$5:$L51)</f>
        <v>0</v>
      </c>
      <c r="M53" s="13">
        <f>SUMPRODUCT($I$5:$I51,$M$5:$M51)</f>
        <v>37038.683252912764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2860082.5921099992</v>
      </c>
      <c r="R53" s="13">
        <f>SUMPRODUCT($I$5:$I51,$R$5:$R51)</f>
        <v>498272.18112000002</v>
      </c>
      <c r="S53" s="13">
        <f>SUMPRODUCT($I$5:$I51,$S$5:$S51)</f>
        <v>0</v>
      </c>
      <c r="T53" s="13">
        <f ca="1">SUMPRODUCT($I$5:$I51,$T$5:$T51)</f>
        <v>3395393.4564829124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4050663.7402050002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4050663.7402050002</v>
      </c>
      <c r="AC53" s="13">
        <f>SUMPRODUCT($I$5:$I51,$AC$5:$AC51)</f>
        <v>8187106.6299999999</v>
      </c>
      <c r="AD53" s="13">
        <f>SUMPRODUCT($I$5:$I51,$AD$5:$AD51)</f>
        <v>8187106.6299999999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326087.73679610284</v>
      </c>
      <c r="AI53" s="13">
        <f>SUMPRODUCT($I$5:$I51,$AI$5:$AI51)</f>
        <v>7365.8617279972041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333453.59852410009</v>
      </c>
      <c r="AM53" s="13">
        <f ca="1">SUMPRODUCT($I$5:$I51,$AM$5:$AM51)</f>
        <v>15966617.425212016</v>
      </c>
    </row>
    <row r="54" spans="1:42" ht="11.25" customHeight="1" x14ac:dyDescent="0.25">
      <c r="K54" s="16" t="s">
        <v>453</v>
      </c>
      <c r="L54" s="13">
        <f>'TR TUSD'!$L$56</f>
        <v>0</v>
      </c>
      <c r="M54" s="13">
        <f>'TR TUSD'!$M$56</f>
        <v>37038.683252912764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2860082.5921099996</v>
      </c>
      <c r="R54" s="13">
        <f>'TR TUSD'!$R$56</f>
        <v>498272.18112000002</v>
      </c>
      <c r="S54" s="13">
        <f>'TR TUSD'!$S$56</f>
        <v>0</v>
      </c>
      <c r="T54" s="13">
        <f>'TR TUSD'!$T$56</f>
        <v>3395393.4564829124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4050663.7402049992</v>
      </c>
      <c r="Z54" s="13">
        <f>'TR TUSD'!$Z$56</f>
        <v>0</v>
      </c>
      <c r="AA54" s="13">
        <f>'TR TUSD'!$AA$56</f>
        <v>0</v>
      </c>
      <c r="AB54" s="13">
        <f>'TR TUSD'!$AB$56</f>
        <v>4050663.7402049992</v>
      </c>
      <c r="AC54" s="13">
        <f>'TR TUSD'!$AC$56</f>
        <v>8187106.6300000008</v>
      </c>
      <c r="AD54" s="13">
        <f>'TR TUSD'!$AD$56</f>
        <v>8187106.6300000008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326087.73679610278</v>
      </c>
      <c r="AI54" s="13">
        <f>'TR TUSD'!$AI$56</f>
        <v>7365.8617279972041</v>
      </c>
      <c r="AJ54" s="13">
        <f>'TR TUSD'!$AJ$56</f>
        <v>0</v>
      </c>
      <c r="AK54" s="13">
        <f>'TR TUSD'!$AK$56</f>
        <v>0</v>
      </c>
      <c r="AL54" s="13">
        <f>'TR TUSD'!$AL$56</f>
        <v>333453.59852409997</v>
      </c>
      <c r="AM54" s="13">
        <f>CUSTOS!$D$29</f>
        <v>15966617.425212013</v>
      </c>
    </row>
    <row r="55" spans="1:42" ht="11.25" customHeight="1" x14ac:dyDescent="0.25">
      <c r="K55" s="16" t="s">
        <v>454</v>
      </c>
      <c r="L55" s="13">
        <f>CUSTOS!$E$2</f>
        <v>0</v>
      </c>
      <c r="M55" s="13">
        <f>CUSTOS!$E$3</f>
        <v>1717.3787376874666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160108.37498343849</v>
      </c>
      <c r="R55" s="13">
        <f>CUSTOS!$E$8</f>
        <v>28107.862599384738</v>
      </c>
      <c r="S55" s="13">
        <f>CUSTOS!$E$9</f>
        <v>0</v>
      </c>
      <c r="T55" s="13">
        <f>CUSTOS!$E$10</f>
        <v>189933.61632051069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-422390.37368547905</v>
      </c>
      <c r="Z55" s="13">
        <f>CUSTOS!$E$16</f>
        <v>0</v>
      </c>
      <c r="AA55" s="13">
        <f>CUSTOS!$E$17</f>
        <v>0</v>
      </c>
      <c r="AB55" s="13">
        <f>CUSTOS!$E$18</f>
        <v>-422390.37368547905</v>
      </c>
      <c r="AC55" s="13">
        <f>CUSTOS!$E$19</f>
        <v>-2231516.880356343</v>
      </c>
      <c r="AD55" s="13">
        <f>CUSTOS!$E$20</f>
        <v>-2231516.880356343</v>
      </c>
      <c r="AE55" s="13">
        <f>CUSTOS!$E$21</f>
        <v>-170335.2244935311</v>
      </c>
      <c r="AF55" s="13">
        <f>CUSTOS!$E$22</f>
        <v>0</v>
      </c>
      <c r="AG55" s="13">
        <f>CUSTOS!$E$23</f>
        <v>-170335.2244935311</v>
      </c>
      <c r="AH55" s="13">
        <f>CUSTOS!$E$24</f>
        <v>-17092.86294593069</v>
      </c>
      <c r="AI55" s="13">
        <f>CUSTOS!$E$25</f>
        <v>-386.10364876756432</v>
      </c>
      <c r="AJ55" s="13">
        <f>CUSTOS!$E$26</f>
        <v>0</v>
      </c>
      <c r="AK55" s="13">
        <f>CUSTOS!$E$27</f>
        <v>0</v>
      </c>
      <c r="AL55" s="13">
        <f>CUSTOS!$E$28</f>
        <v>-17478.966594698253</v>
      </c>
      <c r="AM55" s="13">
        <f>CUSTOS!$E$29</f>
        <v>-2651787.8288095407</v>
      </c>
    </row>
    <row r="56" spans="1:42" ht="11.25" customHeight="1" x14ac:dyDescent="0.25">
      <c r="K56" s="16" t="s">
        <v>455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518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522</v>
      </c>
      <c r="L58" s="13">
        <f t="shared" ref="L58:R58" si="0">IF((L53-(0))&lt;&gt;0,(L55)/(L53-(0)),0)</f>
        <v>0</v>
      </c>
      <c r="M58" s="13">
        <f t="shared" si="0"/>
        <v>4.6367164997757039E-2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5.5980332674700851E-2</v>
      </c>
      <c r="R58" s="13">
        <f t="shared" si="0"/>
        <v>5.6410660005551179E-2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-0.10427682986692503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-0.27256477547017643</v>
      </c>
      <c r="AD58" s="13"/>
      <c r="AE58" s="13">
        <f ca="1">IF(($AM53-(0))&lt;&gt;0,(AE55)/($AM53-(0)),0)</f>
        <v>-1.0668209800315251E-2</v>
      </c>
      <c r="AF58" s="13">
        <f ca="1">IF(($AM53-(0))&lt;&gt;0,(AF55)/($AM53-(0)),0)</f>
        <v>0</v>
      </c>
      <c r="AG58" s="13"/>
      <c r="AH58" s="13">
        <f>IF((AH53-(0))&lt;&gt;0,(AH55)/(AH53-(0)),0)</f>
        <v>-5.2417987606257543E-2</v>
      </c>
      <c r="AI58" s="13">
        <f>IF((AI53-(0))&lt;&gt;0,(AI55)/(AI53-(0)),0)</f>
        <v>-5.2417987606257557E-2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88" priority="55" operator="notEqual">
      <formula>$L$54-$L$57</formula>
    </cfRule>
    <cfRule type="cellIs" dxfId="987" priority="56" operator="equal">
      <formula>$L$54-$L$57</formula>
    </cfRule>
  </conditionalFormatting>
  <conditionalFormatting sqref="M53">
    <cfRule type="cellIs" dxfId="986" priority="53" operator="notEqual">
      <formula>$M$54-$M$57</formula>
    </cfRule>
    <cfRule type="cellIs" dxfId="985" priority="54" operator="equal">
      <formula>$M$54-$M$57</formula>
    </cfRule>
  </conditionalFormatting>
  <conditionalFormatting sqref="N53">
    <cfRule type="cellIs" dxfId="984" priority="51" operator="notEqual">
      <formula>$N$54-$N$57</formula>
    </cfRule>
    <cfRule type="cellIs" dxfId="983" priority="52" operator="equal">
      <formula>$N$54-$N$57</formula>
    </cfRule>
  </conditionalFormatting>
  <conditionalFormatting sqref="O53">
    <cfRule type="cellIs" dxfId="982" priority="49" operator="notEqual">
      <formula>$O$54-$O$57</formula>
    </cfRule>
    <cfRule type="cellIs" dxfId="981" priority="50" operator="equal">
      <formula>$O$54-$O$57</formula>
    </cfRule>
  </conditionalFormatting>
  <conditionalFormatting sqref="P53">
    <cfRule type="cellIs" dxfId="980" priority="47" operator="notEqual">
      <formula>$P$54-$P$57</formula>
    </cfRule>
    <cfRule type="cellIs" dxfId="979" priority="48" operator="equal">
      <formula>$P$54-$P$57</formula>
    </cfRule>
  </conditionalFormatting>
  <conditionalFormatting sqref="Q53">
    <cfRule type="cellIs" dxfId="978" priority="45" operator="notEqual">
      <formula>$Q$54-$Q$57</formula>
    </cfRule>
    <cfRule type="cellIs" dxfId="977" priority="46" operator="equal">
      <formula>$Q$54-$Q$57</formula>
    </cfRule>
  </conditionalFormatting>
  <conditionalFormatting sqref="R53">
    <cfRule type="cellIs" dxfId="976" priority="43" operator="notEqual">
      <formula>$R$54-$R$57</formula>
    </cfRule>
    <cfRule type="cellIs" dxfId="975" priority="44" operator="equal">
      <formula>$R$54-$R$57</formula>
    </cfRule>
  </conditionalFormatting>
  <conditionalFormatting sqref="S53">
    <cfRule type="cellIs" dxfId="974" priority="41" operator="notEqual">
      <formula>$S$54-$S$57</formula>
    </cfRule>
    <cfRule type="cellIs" dxfId="973" priority="42" operator="equal">
      <formula>$S$54-$S$57</formula>
    </cfRule>
  </conditionalFormatting>
  <conditionalFormatting sqref="T53">
    <cfRule type="cellIs" dxfId="972" priority="39" operator="notEqual">
      <formula>$T$54-$T$57</formula>
    </cfRule>
    <cfRule type="cellIs" dxfId="971" priority="40" operator="equal">
      <formula>$T$54-$T$57</formula>
    </cfRule>
  </conditionalFormatting>
  <conditionalFormatting sqref="U53">
    <cfRule type="cellIs" dxfId="970" priority="37" operator="notEqual">
      <formula>$U$54-$U$57</formula>
    </cfRule>
    <cfRule type="cellIs" dxfId="969" priority="38" operator="equal">
      <formula>$U$54-$U$57</formula>
    </cfRule>
  </conditionalFormatting>
  <conditionalFormatting sqref="V53">
    <cfRule type="cellIs" dxfId="968" priority="35" operator="notEqual">
      <formula>$V$54-$V$57</formula>
    </cfRule>
    <cfRule type="cellIs" dxfId="967" priority="36" operator="equal">
      <formula>$V$54-$V$57</formula>
    </cfRule>
  </conditionalFormatting>
  <conditionalFormatting sqref="W53">
    <cfRule type="cellIs" dxfId="966" priority="33" operator="notEqual">
      <formula>$W$54-$W$57</formula>
    </cfRule>
    <cfRule type="cellIs" dxfId="965" priority="34" operator="equal">
      <formula>$W$54-$W$57</formula>
    </cfRule>
  </conditionalFormatting>
  <conditionalFormatting sqref="X53">
    <cfRule type="cellIs" dxfId="964" priority="31" operator="notEqual">
      <formula>$X$54-$X$57</formula>
    </cfRule>
    <cfRule type="cellIs" dxfId="963" priority="32" operator="equal">
      <formula>$X$54-$X$57</formula>
    </cfRule>
  </conditionalFormatting>
  <conditionalFormatting sqref="Y53">
    <cfRule type="cellIs" dxfId="962" priority="29" operator="notEqual">
      <formula>$Y$54-$Y$57</formula>
    </cfRule>
    <cfRule type="cellIs" dxfId="961" priority="30" operator="equal">
      <formula>$Y$54-$Y$57</formula>
    </cfRule>
  </conditionalFormatting>
  <conditionalFormatting sqref="Z53">
    <cfRule type="cellIs" dxfId="960" priority="27" operator="notEqual">
      <formula>$Z$54-$Z$57</formula>
    </cfRule>
    <cfRule type="cellIs" dxfId="959" priority="28" operator="equal">
      <formula>$Z$54-$Z$57</formula>
    </cfRule>
  </conditionalFormatting>
  <conditionalFormatting sqref="AA53">
    <cfRule type="cellIs" dxfId="958" priority="25" operator="notEqual">
      <formula>$AA$54-$AA$57</formula>
    </cfRule>
    <cfRule type="cellIs" dxfId="957" priority="26" operator="equal">
      <formula>$AA$54-$AA$57</formula>
    </cfRule>
  </conditionalFormatting>
  <conditionalFormatting sqref="AB53">
    <cfRule type="cellIs" dxfId="956" priority="23" operator="notEqual">
      <formula>$AB$54-$AB$57</formula>
    </cfRule>
    <cfRule type="cellIs" dxfId="955" priority="24" operator="equal">
      <formula>$AB$54-$AB$57</formula>
    </cfRule>
  </conditionalFormatting>
  <conditionalFormatting sqref="AC53">
    <cfRule type="cellIs" dxfId="954" priority="21" operator="notEqual">
      <formula>$AC$54-$AC$57</formula>
    </cfRule>
    <cfRule type="cellIs" dxfId="953" priority="22" operator="equal">
      <formula>$AC$54-$AC$57</formula>
    </cfRule>
  </conditionalFormatting>
  <conditionalFormatting sqref="AD53">
    <cfRule type="cellIs" dxfId="952" priority="19" operator="notEqual">
      <formula>$AD$54-$AD$57</formula>
    </cfRule>
    <cfRule type="cellIs" dxfId="951" priority="20" operator="equal">
      <formula>$AD$54-$AD$57</formula>
    </cfRule>
  </conditionalFormatting>
  <conditionalFormatting sqref="AE53">
    <cfRule type="cellIs" dxfId="950" priority="17" operator="notEqual">
      <formula>$AE$54-$AE$57</formula>
    </cfRule>
    <cfRule type="cellIs" dxfId="949" priority="18" operator="equal">
      <formula>$AE$54-$AE$57</formula>
    </cfRule>
  </conditionalFormatting>
  <conditionalFormatting sqref="AF53">
    <cfRule type="cellIs" dxfId="948" priority="16" operator="equal">
      <formula>$AF$54-$AF$57</formula>
    </cfRule>
  </conditionalFormatting>
  <conditionalFormatting sqref="AF53">
    <cfRule type="cellIs" dxfId="947" priority="15" operator="notEqual">
      <formula>$AF$54-$AF$57</formula>
    </cfRule>
  </conditionalFormatting>
  <conditionalFormatting sqref="AG53">
    <cfRule type="cellIs" dxfId="946" priority="14" operator="equal">
      <formula>$AG$54-$AG$57</formula>
    </cfRule>
  </conditionalFormatting>
  <conditionalFormatting sqref="AG53">
    <cfRule type="cellIs" dxfId="945" priority="13" operator="notEqual">
      <formula>$AG$54-$AG$57</formula>
    </cfRule>
  </conditionalFormatting>
  <conditionalFormatting sqref="AH53">
    <cfRule type="cellIs" dxfId="944" priority="12" operator="equal">
      <formula>$AH$54-$AH$57</formula>
    </cfRule>
  </conditionalFormatting>
  <conditionalFormatting sqref="AH53">
    <cfRule type="cellIs" dxfId="943" priority="11" operator="notEqual">
      <formula>$AH$54-$AH$57</formula>
    </cfRule>
  </conditionalFormatting>
  <conditionalFormatting sqref="AI53">
    <cfRule type="cellIs" dxfId="942" priority="10" operator="equal">
      <formula>$AI$54-$AI$57</formula>
    </cfRule>
  </conditionalFormatting>
  <conditionalFormatting sqref="AI53">
    <cfRule type="cellIs" dxfId="941" priority="9" operator="notEqual">
      <formula>$AI$54-$AI$57</formula>
    </cfRule>
  </conditionalFormatting>
  <conditionalFormatting sqref="AJ53">
    <cfRule type="cellIs" dxfId="940" priority="8" operator="equal">
      <formula>$AJ$54-$AJ$57</formula>
    </cfRule>
  </conditionalFormatting>
  <conditionalFormatting sqref="AJ53">
    <cfRule type="cellIs" dxfId="939" priority="7" operator="notEqual">
      <formula>$AJ$54-$AJ$57</formula>
    </cfRule>
  </conditionalFormatting>
  <conditionalFormatting sqref="AK53">
    <cfRule type="cellIs" dxfId="938" priority="6" operator="equal">
      <formula>$AK$54-$AK$57</formula>
    </cfRule>
  </conditionalFormatting>
  <conditionalFormatting sqref="AK53">
    <cfRule type="cellIs" dxfId="937" priority="5" operator="notEqual">
      <formula>$AK$54-$AK$57</formula>
    </cfRule>
  </conditionalFormatting>
  <conditionalFormatting sqref="AL53">
    <cfRule type="cellIs" dxfId="936" priority="4" operator="equal">
      <formula>$AL$54-$AL$57</formula>
    </cfRule>
  </conditionalFormatting>
  <conditionalFormatting sqref="AL53">
    <cfRule type="cellIs" dxfId="935" priority="3" operator="notEqual">
      <formula>$AL$54-$AL$57</formula>
    </cfRule>
  </conditionalFormatting>
  <conditionalFormatting sqref="AM53">
    <cfRule type="cellIs" dxfId="934" priority="2" operator="equal">
      <formula>$AM$54-$AM$57</formula>
    </cfRule>
  </conditionalFormatting>
  <conditionalFormatting sqref="AM53">
    <cfRule type="cellIs" dxfId="93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DD30-A7B9-422F-999A-8C3849082894}">
  <dimension ref="A1:AP58"/>
  <sheetViews>
    <sheetView showGridLines="0" topLeftCell="AB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9.285156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2" t="s">
        <v>63</v>
      </c>
      <c r="B1" s="102" t="s">
        <v>64</v>
      </c>
      <c r="C1" s="102" t="s">
        <v>65</v>
      </c>
      <c r="D1" s="102" t="s">
        <v>66</v>
      </c>
      <c r="E1" s="102" t="s">
        <v>67</v>
      </c>
      <c r="F1" s="102" t="s">
        <v>15</v>
      </c>
      <c r="G1" s="102" t="s">
        <v>69</v>
      </c>
      <c r="H1" s="102" t="s">
        <v>70</v>
      </c>
      <c r="I1" s="102" t="s">
        <v>512</v>
      </c>
      <c r="J1" s="95"/>
      <c r="L1" s="103" t="s">
        <v>529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O1" s="20"/>
      <c r="AP1" s="106" t="s">
        <v>514</v>
      </c>
    </row>
    <row r="2" spans="1:42" ht="11.2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95"/>
      <c r="L2" s="103" t="s">
        <v>411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O2" s="20"/>
      <c r="AP2" s="107"/>
    </row>
    <row r="3" spans="1:42" ht="11.2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95"/>
      <c r="L3" s="103" t="s">
        <v>412</v>
      </c>
      <c r="M3" s="103"/>
      <c r="N3" s="103"/>
      <c r="O3" s="103"/>
      <c r="P3" s="103"/>
      <c r="Q3" s="103"/>
      <c r="R3" s="103"/>
      <c r="S3" s="103"/>
      <c r="T3" s="103"/>
      <c r="U3" s="103" t="s">
        <v>421</v>
      </c>
      <c r="V3" s="103"/>
      <c r="W3" s="103"/>
      <c r="X3" s="103"/>
      <c r="Y3" s="103"/>
      <c r="Z3" s="103"/>
      <c r="AA3" s="103"/>
      <c r="AB3" s="103"/>
      <c r="AC3" s="103" t="s">
        <v>429</v>
      </c>
      <c r="AD3" s="103"/>
      <c r="AE3" s="103" t="s">
        <v>431</v>
      </c>
      <c r="AF3" s="103"/>
      <c r="AG3" s="103"/>
      <c r="AH3" s="103" t="s">
        <v>434</v>
      </c>
      <c r="AI3" s="103"/>
      <c r="AJ3" s="103"/>
      <c r="AK3" s="103"/>
      <c r="AL3" s="103"/>
      <c r="AM3" s="103" t="s">
        <v>420</v>
      </c>
      <c r="AO3" s="20"/>
      <c r="AP3" s="107"/>
    </row>
    <row r="4" spans="1:42" ht="11.2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95"/>
      <c r="L4" s="10" t="s">
        <v>497</v>
      </c>
      <c r="M4" s="10" t="s">
        <v>413</v>
      </c>
      <c r="N4" s="10" t="s">
        <v>414</v>
      </c>
      <c r="O4" s="10" t="s">
        <v>415</v>
      </c>
      <c r="P4" s="10" t="s">
        <v>416</v>
      </c>
      <c r="Q4" s="10" t="s">
        <v>417</v>
      </c>
      <c r="R4" s="10" t="s">
        <v>418</v>
      </c>
      <c r="S4" s="10" t="s">
        <v>419</v>
      </c>
      <c r="T4" s="10" t="s">
        <v>420</v>
      </c>
      <c r="U4" s="10" t="s">
        <v>422</v>
      </c>
      <c r="V4" s="10" t="s">
        <v>423</v>
      </c>
      <c r="W4" s="10" t="s">
        <v>424</v>
      </c>
      <c r="X4" s="10" t="s">
        <v>425</v>
      </c>
      <c r="Y4" s="10" t="s">
        <v>426</v>
      </c>
      <c r="Z4" s="10" t="s">
        <v>427</v>
      </c>
      <c r="AA4" s="10" t="s">
        <v>428</v>
      </c>
      <c r="AB4" s="10" t="s">
        <v>420</v>
      </c>
      <c r="AC4" s="10" t="s">
        <v>430</v>
      </c>
      <c r="AD4" s="10" t="s">
        <v>420</v>
      </c>
      <c r="AE4" s="10" t="s">
        <v>432</v>
      </c>
      <c r="AF4" s="10" t="s">
        <v>433</v>
      </c>
      <c r="AG4" s="10" t="s">
        <v>420</v>
      </c>
      <c r="AH4" s="10" t="s">
        <v>435</v>
      </c>
      <c r="AI4" s="10" t="s">
        <v>436</v>
      </c>
      <c r="AJ4" s="10" t="s">
        <v>437</v>
      </c>
      <c r="AK4" s="10" t="s">
        <v>438</v>
      </c>
      <c r="AL4" s="10" t="s">
        <v>420</v>
      </c>
      <c r="AM4" s="105"/>
      <c r="AO4" s="21" t="s">
        <v>531</v>
      </c>
      <c r="AP4" s="108"/>
    </row>
    <row r="5" spans="1:42" ht="11.25" customHeight="1" x14ac:dyDescent="0.25">
      <c r="A5" s="101" t="s">
        <v>35</v>
      </c>
      <c r="B5" s="101" t="s">
        <v>54</v>
      </c>
      <c r="C5" s="101" t="s">
        <v>25</v>
      </c>
      <c r="D5" s="101" t="s">
        <v>25</v>
      </c>
      <c r="E5" s="101" t="s">
        <v>25</v>
      </c>
      <c r="F5" s="101" t="s">
        <v>25</v>
      </c>
      <c r="G5" s="18" t="s">
        <v>77</v>
      </c>
      <c r="H5" s="18" t="s">
        <v>76</v>
      </c>
      <c r="I5" s="18">
        <f>'MERCADO TUSD'!$U$2</f>
        <v>1044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-3.4153953699636044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-3.4153953699636044</v>
      </c>
      <c r="AC5" s="13">
        <f>'TUSD BE'!$AC$5*'TUSD BE'!$AC$58</f>
        <v>-22.293193638842329</v>
      </c>
      <c r="AD5" s="13">
        <f>SUM($AC$5:$AC$5)</f>
        <v>-22.293193638842329</v>
      </c>
      <c r="AE5" s="13">
        <f ca="1">$AO$5*$AO$55</f>
        <v>-1.2219751514046806</v>
      </c>
      <c r="AF5" s="13">
        <f ca="1">$AP$5*$AP$55</f>
        <v>0</v>
      </c>
      <c r="AG5" s="13">
        <f ca="1">SUM($AE$5:$AF$5)</f>
        <v>-1.2219751514046806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-26.930564160210615</v>
      </c>
      <c r="AO5" s="20">
        <f ca="1">+'TUSD BE'!$T$5+'TUSD BE'!$AB$5+'TUSD BE'!$AD$5+'TUSD BE'!$AL$5</f>
        <v>114.54359956143443</v>
      </c>
      <c r="AP5" s="20">
        <f ca="1">+'TUSD BE'!$T$5+'TUSD BE'!$AB$5+'TUSD BE'!$AD$5+'TUSD BE'!$AL$5</f>
        <v>114.54359956143443</v>
      </c>
    </row>
    <row r="6" spans="1:42" ht="11.25" customHeight="1" x14ac:dyDescent="0.25">
      <c r="A6" s="101"/>
      <c r="B6" s="101"/>
      <c r="C6" s="101"/>
      <c r="D6" s="101"/>
      <c r="E6" s="101"/>
      <c r="F6" s="101"/>
      <c r="G6" s="18" t="s">
        <v>78</v>
      </c>
      <c r="H6" s="18" t="s">
        <v>76</v>
      </c>
      <c r="I6" s="18">
        <f>'MERCADO TUSD'!$U$3</f>
        <v>1080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-1.5561140020280391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-1.5561140020280391</v>
      </c>
      <c r="AC6" s="13">
        <f>'TUSD BE'!$AC$6*'TUSD BE'!$AC$58</f>
        <v>-5.6404106463809001</v>
      </c>
      <c r="AD6" s="13">
        <f>SUM($AC$6:$AC$6)</f>
        <v>-5.6404106463809001</v>
      </c>
      <c r="AE6" s="13">
        <f ca="1">$AO$6*$AO$55</f>
        <v>-0.3799669402414293</v>
      </c>
      <c r="AF6" s="13">
        <f ca="1">$AP$6*$AP$55</f>
        <v>0</v>
      </c>
      <c r="AG6" s="13">
        <f ca="1">SUM($AE$6:$AF$6)</f>
        <v>-0.3799669402414293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-7.5764915886503683</v>
      </c>
      <c r="AO6" s="20">
        <f ca="1">+'TUSD BE'!$T$6+'TUSD BE'!$AB$6+'TUSD BE'!$AD$6+'TUSD BE'!$AL$6</f>
        <v>35.616748016166788</v>
      </c>
      <c r="AP6" s="20">
        <f ca="1">+'TUSD BE'!$T$6+'TUSD BE'!$AB$6+'TUSD BE'!$AD$6+'TUSD BE'!$AL$6</f>
        <v>35.616748016166788</v>
      </c>
    </row>
    <row r="7" spans="1:42" ht="11.25" customHeight="1" x14ac:dyDescent="0.25">
      <c r="A7" s="101"/>
      <c r="B7" s="101"/>
      <c r="C7" s="101"/>
      <c r="D7" s="101"/>
      <c r="E7" s="101"/>
      <c r="F7" s="101"/>
      <c r="G7" s="18" t="s">
        <v>79</v>
      </c>
      <c r="H7" s="18" t="s">
        <v>73</v>
      </c>
      <c r="I7" s="18">
        <f>'MERCADO TUSD'!$U$4</f>
        <v>562.31000000000006</v>
      </c>
      <c r="J7" s="15"/>
      <c r="L7" s="13">
        <f>'TUSD BE'!$L$7*'TUSD BE'!$L$58</f>
        <v>0</v>
      </c>
      <c r="M7" s="13">
        <f>'TUSD BE'!$M$7*'TUSD BE'!$M$58</f>
        <v>3.9635441745810969E-2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4.2500482512518447</v>
      </c>
      <c r="R7" s="13">
        <f>'TUSD BE'!$R$7*'TUSD BE'!$R$58</f>
        <v>0.80539436802755604</v>
      </c>
      <c r="S7" s="13">
        <f>'TUSD BE'!$R$7*'TUSD BE'!$S$58</f>
        <v>0</v>
      </c>
      <c r="T7" s="13">
        <f ca="1">SUM($L$7:$S$7)</f>
        <v>5.0950780610252115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-1.0279690368707879</v>
      </c>
      <c r="AF7" s="13">
        <f ca="1">$AP$7*$AP$55</f>
        <v>0</v>
      </c>
      <c r="AG7" s="13">
        <f ca="1">SUM($AE$7:$AF$7)</f>
        <v>-1.0279690368707879</v>
      </c>
      <c r="AH7" s="13">
        <f>'TUSD BE'!$AH$7*'TUSD BE'!$AH$58</f>
        <v>-0.27196576968119512</v>
      </c>
      <c r="AI7" s="13">
        <f>'TUSD BE'!$AI$7*'TUSD BE'!$AI$58</f>
        <v>-6.1438667249435622E-3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-0.27810963640613867</v>
      </c>
      <c r="AM7" s="13">
        <f ca="1">SUMIF($L$4:$AL$4,"SUBTOTAL",$L$7:$AL$7)</f>
        <v>3.788999387748285</v>
      </c>
      <c r="AO7" s="20">
        <f ca="1">+'TUSD BE'!$T$7+'TUSD BE'!$AB$7+'TUSD BE'!$AD$7+'TUSD BE'!$AL$7</f>
        <v>96.358157189635591</v>
      </c>
      <c r="AP7" s="20">
        <f ca="1">+'TUSD BE'!$T$7+'TUSD BE'!$AB$7+'TUSD BE'!$AD$7+'TUSD BE'!$AL$7</f>
        <v>96.358157189635591</v>
      </c>
    </row>
    <row r="8" spans="1:42" ht="11.25" customHeight="1" x14ac:dyDescent="0.25">
      <c r="A8" s="101"/>
      <c r="B8" s="101"/>
      <c r="C8" s="101"/>
      <c r="D8" s="101"/>
      <c r="E8" s="17" t="s">
        <v>80</v>
      </c>
      <c r="F8" s="17" t="s">
        <v>25</v>
      </c>
      <c r="G8" s="18" t="s">
        <v>79</v>
      </c>
      <c r="H8" s="18" t="s">
        <v>73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3.9635441745810969E-2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3.9635441745810969E-2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-6.5720776166138889E-2</v>
      </c>
      <c r="AF8" s="13">
        <f ca="1">$AP$8*$AP$55</f>
        <v>0</v>
      </c>
      <c r="AG8" s="13">
        <f ca="1">SUM($AE$8:$AF$8)</f>
        <v>-6.5720776166138889E-2</v>
      </c>
      <c r="AH8" s="13">
        <f>'TUSD BE'!$AH$8*'TUSD BE'!$AH$58</f>
        <v>-0.27196576968119512</v>
      </c>
      <c r="AI8" s="13">
        <f>'TUSD BE'!$AI$8*'TUSD BE'!$AI$58</f>
        <v>-6.1438667249435622E-3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-0.27810963640613867</v>
      </c>
      <c r="AM8" s="13">
        <f ca="1">SUMIF($L$4:$AL$4,"SUBTOTAL",$L$8:$AL$8)</f>
        <v>-0.30419497082646657</v>
      </c>
      <c r="AO8" s="20">
        <f ca="1">+'TUSD BE'!$T$8+'TUSD BE'!$AB$8+'TUSD BE'!$AD$8+'TUSD BE'!$AL$8</f>
        <v>6.1604315434625976</v>
      </c>
      <c r="AP8" s="20">
        <f ca="1">+'TUSD BE'!$T$8+'TUSD BE'!$AB$8+'TUSD BE'!$AD$8+'TUSD BE'!$AL$8</f>
        <v>6.1604315434625976</v>
      </c>
    </row>
    <row r="9" spans="1:42" ht="11.25" customHeight="1" x14ac:dyDescent="0.25">
      <c r="A9" s="101"/>
      <c r="B9" s="17" t="s">
        <v>81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76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1.4042861785448122E-3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1.4042861785448122E-3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-5.3299674931281453</v>
      </c>
      <c r="AD9" s="13">
        <f>SUM($AC$9:$AC$9)</f>
        <v>-5.3299674931281453</v>
      </c>
      <c r="AE9" s="13">
        <f ca="1">$AO$9*$AO$55</f>
        <v>-0.20893850630195512</v>
      </c>
      <c r="AF9" s="13">
        <f ca="1">$AP$9*$AP$55</f>
        <v>0</v>
      </c>
      <c r="AG9" s="13">
        <f ca="1">SUM($AE$9:$AF$9)</f>
        <v>-0.20893850630195512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-5.5375017132515554</v>
      </c>
      <c r="AO9" s="20">
        <f ca="1">+'TUSD BE'!$T$9+'TUSD BE'!$AB$9+'TUSD BE'!$AD$9+'TUSD BE'!$AL$9</f>
        <v>19.585151605828081</v>
      </c>
      <c r="AP9" s="20">
        <f ca="1">+'TUSD BE'!$T$9+'TUSD BE'!$AB$9+'TUSD BE'!$AD$9+'TUSD BE'!$AL$9</f>
        <v>19.585151605828081</v>
      </c>
    </row>
    <row r="10" spans="1:42" ht="11.25" customHeight="1" x14ac:dyDescent="0.25">
      <c r="A10" s="101"/>
      <c r="B10" s="101" t="s">
        <v>36</v>
      </c>
      <c r="C10" s="101" t="s">
        <v>25</v>
      </c>
      <c r="D10" s="101" t="s">
        <v>25</v>
      </c>
      <c r="E10" s="101" t="s">
        <v>25</v>
      </c>
      <c r="F10" s="101" t="s">
        <v>25</v>
      </c>
      <c r="G10" s="18" t="s">
        <v>9</v>
      </c>
      <c r="H10" s="18" t="s">
        <v>76</v>
      </c>
      <c r="I10" s="18">
        <f>'MERCADO TUSD'!$U$7</f>
        <v>111678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-1.5561140020280391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-1.5561140020280391</v>
      </c>
      <c r="AC10" s="13">
        <f>'TUSD BE'!$AC$10*'TUSD BE'!$AC$58</f>
        <v>-5.6404106463809001</v>
      </c>
      <c r="AD10" s="13">
        <f>SUM($AC$10:$AC$10)</f>
        <v>-5.6404106463809001</v>
      </c>
      <c r="AE10" s="13">
        <f ca="1">$AO$10*$AO$55</f>
        <v>-0.3799669402414293</v>
      </c>
      <c r="AF10" s="13">
        <f ca="1">$AP$10*$AP$55</f>
        <v>0</v>
      </c>
      <c r="AG10" s="13">
        <f ca="1">SUM($AE$10:$AF$10)</f>
        <v>-0.3799669402414293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-7.5764915886503683</v>
      </c>
      <c r="AO10" s="20">
        <f ca="1">+'TUSD BE'!$T$10+'TUSD BE'!$AB$10+'TUSD BE'!$AD$10+'TUSD BE'!$AL$10</f>
        <v>35.616748016166788</v>
      </c>
      <c r="AP10" s="20">
        <f ca="1">+'TUSD BE'!$T$10+'TUSD BE'!$AB$10+'TUSD BE'!$AD$10+'TUSD BE'!$AL$10</f>
        <v>35.616748016166788</v>
      </c>
    </row>
    <row r="11" spans="1:42" ht="11.25" customHeight="1" x14ac:dyDescent="0.25">
      <c r="A11" s="101"/>
      <c r="B11" s="101"/>
      <c r="C11" s="101"/>
      <c r="D11" s="101"/>
      <c r="E11" s="101"/>
      <c r="F11" s="101"/>
      <c r="G11" s="18" t="s">
        <v>74</v>
      </c>
      <c r="H11" s="18" t="s">
        <v>73</v>
      </c>
      <c r="I11" s="18">
        <f>'MERCADO TUSD'!$U$8</f>
        <v>724.46799999999996</v>
      </c>
      <c r="J11" s="15"/>
      <c r="L11" s="13">
        <f>'TUSD BE'!$L$11*'TUSD BE'!$L$58</f>
        <v>0</v>
      </c>
      <c r="M11" s="13">
        <f>'TUSD BE'!$M$11*'TUSD BE'!$M$58</f>
        <v>3.9635441745810969E-2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4.2500482512518447</v>
      </c>
      <c r="R11" s="13">
        <f>'TUSD BE'!$R$11*'TUSD BE'!$R$58</f>
        <v>0.80539436802755604</v>
      </c>
      <c r="S11" s="13">
        <f>'TUSD BE'!$R$11*'TUSD BE'!$S$58</f>
        <v>0</v>
      </c>
      <c r="T11" s="13">
        <f ca="1">SUM($L$11:$S$11)</f>
        <v>5.0950780610252115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-82.132230427432361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-82.132230427432361</v>
      </c>
      <c r="AC11" s="13">
        <f>'TUSD BE'!$AC$11*'TUSD BE'!$AC$58</f>
        <v>-536.15180937475998</v>
      </c>
      <c r="AD11" s="13">
        <f>SUM($AC$11:$AC$11)</f>
        <v>-536.15180937475998</v>
      </c>
      <c r="AE11" s="13">
        <f ca="1">$AO$11*$AO$55</f>
        <v>-30.415669750535947</v>
      </c>
      <c r="AF11" s="13">
        <f ca="1">$AP$11*$AP$55</f>
        <v>0</v>
      </c>
      <c r="AG11" s="13">
        <f ca="1">SUM($AE$11:$AF$11)</f>
        <v>-30.415669750535947</v>
      </c>
      <c r="AH11" s="13">
        <f>'TUSD BE'!$AH$11*'TUSD BE'!$AH$58</f>
        <v>-0.27196576968119512</v>
      </c>
      <c r="AI11" s="13">
        <f>'TUSD BE'!$AI$11*'TUSD BE'!$AI$58</f>
        <v>-6.1438667249435622E-3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-0.27810963640613867</v>
      </c>
      <c r="AM11" s="13">
        <f ca="1">SUMIF($L$4:$AL$4,"SUBTOTAL",$L$11:$AL$11)</f>
        <v>-643.88274112810916</v>
      </c>
      <c r="AO11" s="20">
        <f ca="1">+'TUSD BE'!$T$11+'TUSD BE'!$AB$11+'TUSD BE'!$AD$11+'TUSD BE'!$AL$11</f>
        <v>2851.0565802368405</v>
      </c>
      <c r="AP11" s="20">
        <f ca="1">+'TUSD BE'!$T$11+'TUSD BE'!$AB$11+'TUSD BE'!$AD$11+'TUSD BE'!$AL$11</f>
        <v>2851.0565802368405</v>
      </c>
    </row>
    <row r="12" spans="1:42" ht="11.25" customHeight="1" x14ac:dyDescent="0.25">
      <c r="A12" s="101"/>
      <c r="B12" s="101"/>
      <c r="C12" s="101"/>
      <c r="D12" s="101"/>
      <c r="E12" s="101"/>
      <c r="F12" s="101"/>
      <c r="G12" s="18" t="s">
        <v>75</v>
      </c>
      <c r="H12" s="18" t="s">
        <v>73</v>
      </c>
      <c r="I12" s="18">
        <f>'MERCADO TUSD'!$U$9</f>
        <v>19056.422999999999</v>
      </c>
      <c r="J12" s="15"/>
      <c r="L12" s="13">
        <f>'TUSD BE'!$L$12*'TUSD BE'!$L$58</f>
        <v>0</v>
      </c>
      <c r="M12" s="13">
        <f>'TUSD BE'!$M$12*'TUSD BE'!$M$58</f>
        <v>3.9635441745810969E-2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4.2500482512518447</v>
      </c>
      <c r="R12" s="13">
        <f>'TUSD BE'!$R$12*'TUSD BE'!$R$58</f>
        <v>0.80539436802755604</v>
      </c>
      <c r="S12" s="13">
        <f>'TUSD BE'!$R$12*'TUSD BE'!$S$58</f>
        <v>0</v>
      </c>
      <c r="T12" s="13">
        <f ca="1">SUM($L$12:$S$12)</f>
        <v>5.0950780610252115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-1.0279690368707879</v>
      </c>
      <c r="AF12" s="13">
        <f ca="1">$AP$12*$AP$55</f>
        <v>0</v>
      </c>
      <c r="AG12" s="13">
        <f ca="1">SUM($AE$12:$AF$12)</f>
        <v>-1.0279690368707879</v>
      </c>
      <c r="AH12" s="13">
        <f>'TUSD BE'!$AH$12*'TUSD BE'!$AH$58</f>
        <v>-0.27196576968119512</v>
      </c>
      <c r="AI12" s="13">
        <f>'TUSD BE'!$AI$12*'TUSD BE'!$AI$58</f>
        <v>-6.1438667249435622E-3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-0.27810963640613867</v>
      </c>
      <c r="AM12" s="13">
        <f ca="1">SUMIF($L$4:$AL$4,"SUBTOTAL",$L$12:$AL$12)</f>
        <v>3.788999387748285</v>
      </c>
      <c r="AO12" s="20">
        <f ca="1">+'TUSD BE'!$T$12+'TUSD BE'!$AB$12+'TUSD BE'!$AD$12+'TUSD BE'!$AL$12</f>
        <v>96.358157189635591</v>
      </c>
      <c r="AP12" s="20">
        <f ca="1">+'TUSD BE'!$T$12+'TUSD BE'!$AB$12+'TUSD BE'!$AD$12+'TUSD BE'!$AL$12</f>
        <v>96.358157189635591</v>
      </c>
    </row>
    <row r="13" spans="1:42" ht="11.25" customHeight="1" x14ac:dyDescent="0.25">
      <c r="A13" s="101"/>
      <c r="B13" s="101"/>
      <c r="C13" s="101"/>
      <c r="D13" s="101"/>
      <c r="E13" s="101" t="s">
        <v>80</v>
      </c>
      <c r="F13" s="101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3.9635441745810969E-2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3.9635441745810969E-2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-82.132230427432361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-82.132230427432361</v>
      </c>
      <c r="AC13" s="13">
        <f>'TUSD BE'!$AC$13*'TUSD BE'!$AC$58</f>
        <v>-536.15180937475998</v>
      </c>
      <c r="AD13" s="13">
        <f>SUM($AC$13:$AC$13)</f>
        <v>-536.15180937475998</v>
      </c>
      <c r="AE13" s="13">
        <f ca="1">$AO$13*$AO$55</f>
        <v>-29.4534214898313</v>
      </c>
      <c r="AF13" s="13">
        <f ca="1">$AP$13*$AP$55</f>
        <v>0</v>
      </c>
      <c r="AG13" s="13">
        <f ca="1">SUM($AE$13:$AF$13)</f>
        <v>-29.4534214898313</v>
      </c>
      <c r="AH13" s="13">
        <f>'TUSD BE'!$AH$13*'TUSD BE'!$AH$58</f>
        <v>-0.27196576968119512</v>
      </c>
      <c r="AI13" s="13">
        <f>'TUSD BE'!$AI$13*'TUSD BE'!$AI$58</f>
        <v>-6.1438667249435622E-3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-0.27810963640613867</v>
      </c>
      <c r="AM13" s="13">
        <f ca="1">SUMIF($L$4:$AL$4,"SUBTOTAL",$L$13:$AL$13)</f>
        <v>-647.97593548668397</v>
      </c>
      <c r="AO13" s="20">
        <f ca="1">+'TUSD BE'!$T$13+'TUSD BE'!$AB$13+'TUSD BE'!$AD$13+'TUSD BE'!$AL$13</f>
        <v>2760.8588545906678</v>
      </c>
      <c r="AP13" s="20">
        <f ca="1">+'TUSD BE'!$T$13+'TUSD BE'!$AB$13+'TUSD BE'!$AD$13+'TUSD BE'!$AL$13</f>
        <v>2760.8588545906678</v>
      </c>
    </row>
    <row r="14" spans="1:42" ht="11.25" customHeight="1" x14ac:dyDescent="0.25">
      <c r="A14" s="101"/>
      <c r="B14" s="101"/>
      <c r="C14" s="101"/>
      <c r="D14" s="101"/>
      <c r="E14" s="101"/>
      <c r="F14" s="101"/>
      <c r="G14" s="18" t="s">
        <v>75</v>
      </c>
      <c r="H14" s="18" t="s">
        <v>73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3.9635441745810969E-2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3.9635441745810969E-2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-6.5720776166138889E-2</v>
      </c>
      <c r="AF14" s="13">
        <f ca="1">$AP$14*$AP$55</f>
        <v>0</v>
      </c>
      <c r="AG14" s="13">
        <f ca="1">SUM($AE$14:$AF$14)</f>
        <v>-6.5720776166138889E-2</v>
      </c>
      <c r="AH14" s="13">
        <f>'TUSD BE'!$AH$14*'TUSD BE'!$AH$58</f>
        <v>-0.27196576968119512</v>
      </c>
      <c r="AI14" s="13">
        <f>'TUSD BE'!$AI$14*'TUSD BE'!$AI$58</f>
        <v>-6.1438667249435622E-3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-0.27810963640613867</v>
      </c>
      <c r="AM14" s="13">
        <f ca="1">SUMIF($L$4:$AL$4,"SUBTOTAL",$L$14:$AL$14)</f>
        <v>-0.30419497082646657</v>
      </c>
      <c r="AO14" s="20">
        <f ca="1">+'TUSD BE'!$T$14+'TUSD BE'!$AB$14+'TUSD BE'!$AD$14+'TUSD BE'!$AL$14</f>
        <v>6.1604315434625976</v>
      </c>
      <c r="AP14" s="20">
        <f ca="1">+'TUSD BE'!$T$14+'TUSD BE'!$AB$14+'TUSD BE'!$AD$14+'TUSD BE'!$AL$14</f>
        <v>6.1604315434625976</v>
      </c>
    </row>
    <row r="15" spans="1:42" ht="11.25" customHeight="1" x14ac:dyDescent="0.25">
      <c r="A15" s="101" t="s">
        <v>82</v>
      </c>
      <c r="B15" s="101" t="s">
        <v>81</v>
      </c>
      <c r="C15" s="101" t="s">
        <v>25</v>
      </c>
      <c r="D15" s="101" t="s">
        <v>25</v>
      </c>
      <c r="E15" s="17" t="s">
        <v>83</v>
      </c>
      <c r="F15" s="17" t="s">
        <v>25</v>
      </c>
      <c r="G15" s="18" t="s">
        <v>9</v>
      </c>
      <c r="H15" s="18" t="s">
        <v>76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2.3952707393239275E-4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2.3952707393239275E-4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-1.0073115008072322</v>
      </c>
      <c r="AD15" s="13">
        <f>SUM($AC$15:$AC$15)</f>
        <v>-1.0073115008072322</v>
      </c>
      <c r="AE15" s="13">
        <f ca="1">$AO$15*$AO$55</f>
        <v>-3.9481373303133033E-2</v>
      </c>
      <c r="AF15" s="13">
        <f ca="1">$AP$15*$AP$55</f>
        <v>0</v>
      </c>
      <c r="AG15" s="13">
        <f ca="1">SUM($AE$15:$AF$15)</f>
        <v>-3.9481373303133033E-2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-1.0465533470364328</v>
      </c>
      <c r="AO15" s="20">
        <f ca="1">+'TUSD BE'!$T$15+'TUSD BE'!$AB$15+'TUSD BE'!$AD$15+'TUSD BE'!$AL$15</f>
        <v>3.700843350677856</v>
      </c>
      <c r="AP15" s="20">
        <f ca="1">+'TUSD BE'!$T$15+'TUSD BE'!$AB$15+'TUSD BE'!$AD$15+'TUSD BE'!$AL$15</f>
        <v>3.700843350677856</v>
      </c>
    </row>
    <row r="16" spans="1:42" ht="11.25" customHeight="1" x14ac:dyDescent="0.25">
      <c r="A16" s="101"/>
      <c r="B16" s="101"/>
      <c r="C16" s="101"/>
      <c r="D16" s="101"/>
      <c r="E16" s="17" t="s">
        <v>84</v>
      </c>
      <c r="F16" s="17" t="s">
        <v>25</v>
      </c>
      <c r="G16" s="18" t="s">
        <v>9</v>
      </c>
      <c r="H16" s="18" t="s">
        <v>76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2.3952707393239275E-4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2.3952707393239275E-4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-5.5509669110758395</v>
      </c>
      <c r="AD16" s="13">
        <f>SUM($AC$16:$AC$16)</f>
        <v>-5.5509669110758395</v>
      </c>
      <c r="AE16" s="13">
        <f ca="1">$AO$16*$AO$55</f>
        <v>-0.21732045428293764</v>
      </c>
      <c r="AF16" s="13">
        <f ca="1">$AP$16*$AP$55</f>
        <v>0</v>
      </c>
      <c r="AG16" s="13">
        <f ca="1">SUM($AE$16:$AF$16)</f>
        <v>-0.21732045428293764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-5.7680478382848444</v>
      </c>
      <c r="AO16" s="20">
        <f ca="1">+'TUSD BE'!$T$16+'TUSD BE'!$AB$16+'TUSD BE'!$AD$16+'TUSD BE'!$AL$16</f>
        <v>20.370845563659209</v>
      </c>
      <c r="AP16" s="20">
        <f ca="1">+'TUSD BE'!$T$16+'TUSD BE'!$AB$16+'TUSD BE'!$AD$16+'TUSD BE'!$AL$16</f>
        <v>20.370845563659209</v>
      </c>
    </row>
    <row r="17" spans="1:42" ht="11.25" customHeight="1" x14ac:dyDescent="0.25">
      <c r="A17" s="101" t="s">
        <v>22</v>
      </c>
      <c r="B17" s="101" t="s">
        <v>87</v>
      </c>
      <c r="C17" s="101" t="s">
        <v>24</v>
      </c>
      <c r="D17" s="101" t="s">
        <v>24</v>
      </c>
      <c r="E17" s="101" t="s">
        <v>25</v>
      </c>
      <c r="F17" s="101" t="s">
        <v>25</v>
      </c>
      <c r="G17" s="18" t="s">
        <v>74</v>
      </c>
      <c r="H17" s="18" t="s">
        <v>73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6.0956798939550007E-2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5.0595812514902905</v>
      </c>
      <c r="R17" s="13">
        <f>'TUSD BE'!$R$17*'TUSD BE'!$R$58</f>
        <v>0.80539436802755604</v>
      </c>
      <c r="S17" s="13">
        <f>'TUSD BE'!$R$17*'TUSD BE'!$S$58</f>
        <v>0</v>
      </c>
      <c r="T17" s="13">
        <f ca="1">SUM($L$17:$S$17)</f>
        <v>5.9259324184573963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-35.675777676435764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-35.675777676435764</v>
      </c>
      <c r="AC17" s="13">
        <f>'TUSD BE'!$AC$17*'TUSD BE'!$AC$58</f>
        <v>-229.69649662249302</v>
      </c>
      <c r="AD17" s="13">
        <f>SUM($AC$17:$AC$17)</f>
        <v>-229.69649662249302</v>
      </c>
      <c r="AE17" s="13">
        <f ca="1">$AO$17*$AO$55</f>
        <v>-13.931727792971305</v>
      </c>
      <c r="AF17" s="13">
        <f ca="1">$AP$17*$AP$55</f>
        <v>0</v>
      </c>
      <c r="AG17" s="13">
        <f ca="1">SUM($AE$17:$AF$17)</f>
        <v>-13.931727792971305</v>
      </c>
      <c r="AH17" s="13">
        <f>'TUSD BE'!$AH$17*'TUSD BE'!$AH$58</f>
        <v>-0.77345939308676348</v>
      </c>
      <c r="AI17" s="13">
        <f>'TUSD BE'!$AI$17*'TUSD BE'!$AI$58</f>
        <v>-1.7470615785261635E-2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-0.79093000887202514</v>
      </c>
      <c r="AM17" s="13">
        <f ca="1">SUMIF($L$4:$AL$4,"SUBTOTAL",$L$17:$AL$17)</f>
        <v>-274.16899968231468</v>
      </c>
      <c r="AO17" s="20">
        <f ca="1">+'TUSD BE'!$T$17+'TUSD BE'!$AB$17+'TUSD BE'!$AD$17+'TUSD BE'!$AL$17</f>
        <v>1305.9105561047004</v>
      </c>
      <c r="AP17" s="20">
        <f ca="1">+'TUSD BE'!$T$17+'TUSD BE'!$AB$17+'TUSD BE'!$AD$17+'TUSD BE'!$AL$17</f>
        <v>1305.9105561047004</v>
      </c>
    </row>
    <row r="18" spans="1:42" ht="11.25" customHeight="1" x14ac:dyDescent="0.25">
      <c r="A18" s="101"/>
      <c r="B18" s="101"/>
      <c r="C18" s="101"/>
      <c r="D18" s="101"/>
      <c r="E18" s="101"/>
      <c r="F18" s="101"/>
      <c r="G18" s="18" t="s">
        <v>85</v>
      </c>
      <c r="H18" s="18" t="s">
        <v>73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6.0956798939550007E-2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5.0595812514902905</v>
      </c>
      <c r="R18" s="13">
        <f>'TUSD BE'!$R$18*'TUSD BE'!$R$58</f>
        <v>0.80539436802755604</v>
      </c>
      <c r="S18" s="13">
        <f>'TUSD BE'!$R$18*'TUSD BE'!$S$58</f>
        <v>0</v>
      </c>
      <c r="T18" s="13">
        <f ca="1">SUM($L$18:$S$18)</f>
        <v>5.9259324184573963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-21.40514003419262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-21.40514003419262</v>
      </c>
      <c r="AC18" s="13">
        <f>'TUSD BE'!$AC$18*'TUSD BE'!$AC$58</f>
        <v>-137.817882274727</v>
      </c>
      <c r="AD18" s="13">
        <f>SUM($AC$18:$AC$18)</f>
        <v>-137.817882274727</v>
      </c>
      <c r="AE18" s="13">
        <f ca="1">$AO$18*$AO$55</f>
        <v>-8.8756098986225584</v>
      </c>
      <c r="AF18" s="13">
        <f ca="1">$AP$18*$AP$55</f>
        <v>0</v>
      </c>
      <c r="AG18" s="13">
        <f ca="1">SUM($AE$18:$AF$18)</f>
        <v>-8.8756098986225584</v>
      </c>
      <c r="AH18" s="13">
        <f>'TUSD BE'!$AH$18*'TUSD BE'!$AH$58</f>
        <v>-0.77345939308676348</v>
      </c>
      <c r="AI18" s="13">
        <f>'TUSD BE'!$AI$18*'TUSD BE'!$AI$58</f>
        <v>-1.7470615785261635E-2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-0.79093000887202514</v>
      </c>
      <c r="AM18" s="13">
        <f ca="1">SUMIF($L$4:$AL$4,"SUBTOTAL",$L$18:$AL$18)</f>
        <v>-162.96362979795683</v>
      </c>
      <c r="AO18" s="20">
        <f ca="1">+'TUSD BE'!$T$18+'TUSD BE'!$AB$18+'TUSD BE'!$AD$18+'TUSD BE'!$AL$18</f>
        <v>831.9680681908111</v>
      </c>
      <c r="AP18" s="20">
        <f ca="1">+'TUSD BE'!$T$18+'TUSD BE'!$AB$18+'TUSD BE'!$AD$18+'TUSD BE'!$AL$18</f>
        <v>831.9680681908111</v>
      </c>
    </row>
    <row r="19" spans="1:42" ht="11.25" customHeight="1" x14ac:dyDescent="0.25">
      <c r="A19" s="101"/>
      <c r="B19" s="101"/>
      <c r="C19" s="101"/>
      <c r="D19" s="101"/>
      <c r="E19" s="101"/>
      <c r="F19" s="101"/>
      <c r="G19" s="18" t="s">
        <v>75</v>
      </c>
      <c r="H19" s="18" t="s">
        <v>73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6.0956798939550007E-2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5.0595812514902905</v>
      </c>
      <c r="R19" s="13">
        <f>'TUSD BE'!$R$19*'TUSD BE'!$R$58</f>
        <v>0.80539436802755604</v>
      </c>
      <c r="S19" s="13">
        <f>'TUSD BE'!$R$19*'TUSD BE'!$S$58</f>
        <v>0</v>
      </c>
      <c r="T19" s="13">
        <f ca="1">SUM($L$19:$S$19)</f>
        <v>5.9259324184573963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-7.1350466780642057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-7.1350466780642057</v>
      </c>
      <c r="AC19" s="13">
        <f>'TUSD BE'!$AC$19*'TUSD BE'!$AC$58</f>
        <v>-45.939267926960987</v>
      </c>
      <c r="AD19" s="13">
        <f>SUM($AC$19:$AC$19)</f>
        <v>-45.939267926960987</v>
      </c>
      <c r="AE19" s="13">
        <f ca="1">$AO$19*$AO$55</f>
        <v>-3.8195476883454424</v>
      </c>
      <c r="AF19" s="13">
        <f ca="1">$AP$19*$AP$55</f>
        <v>0</v>
      </c>
      <c r="AG19" s="13">
        <f ca="1">SUM($AE$19:$AF$19)</f>
        <v>-3.8195476883454424</v>
      </c>
      <c r="AH19" s="13">
        <f>'TUSD BE'!$AH$19*'TUSD BE'!$AH$58</f>
        <v>-0.77345939308676348</v>
      </c>
      <c r="AI19" s="13">
        <f>'TUSD BE'!$AI$19*'TUSD BE'!$AI$58</f>
        <v>-1.7470615785261635E-2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-0.79093000887202514</v>
      </c>
      <c r="AM19" s="13">
        <f ca="1">SUMIF($L$4:$AL$4,"SUBTOTAL",$L$19:$AL$19)</f>
        <v>-51.758859883785263</v>
      </c>
      <c r="AO19" s="20">
        <f ca="1">+'TUSD BE'!$T$19+'TUSD BE'!$AB$19+'TUSD BE'!$AD$19+'TUSD BE'!$AL$19</f>
        <v>358.03079990352018</v>
      </c>
      <c r="AP19" s="20">
        <f ca="1">+'TUSD BE'!$T$19+'TUSD BE'!$AB$19+'TUSD BE'!$AD$19+'TUSD BE'!$AL$19</f>
        <v>358.03079990352018</v>
      </c>
    </row>
    <row r="20" spans="1:42" ht="11.25" customHeight="1" x14ac:dyDescent="0.25">
      <c r="A20" s="101"/>
      <c r="B20" s="101" t="s">
        <v>23</v>
      </c>
      <c r="C20" s="101" t="s">
        <v>24</v>
      </c>
      <c r="D20" s="17" t="s">
        <v>24</v>
      </c>
      <c r="E20" s="17" t="s">
        <v>25</v>
      </c>
      <c r="F20" s="17" t="s">
        <v>25</v>
      </c>
      <c r="G20" s="18" t="s">
        <v>79</v>
      </c>
      <c r="H20" s="18" t="s">
        <v>73</v>
      </c>
      <c r="I20" s="18">
        <f>'MERCADO TUSD'!$U$17</f>
        <v>6839.3490000000002</v>
      </c>
      <c r="J20" s="15"/>
      <c r="L20" s="13">
        <f>'TUSD BE'!$L$20*'TUSD BE'!$L$58</f>
        <v>0</v>
      </c>
      <c r="M20" s="13">
        <f>'TUSD BE'!$M$20*'TUSD BE'!$M$58</f>
        <v>6.0956798939550007E-2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5.0595812514902905</v>
      </c>
      <c r="R20" s="13">
        <f>'TUSD BE'!$R$20*'TUSD BE'!$R$58</f>
        <v>0.80539436802755604</v>
      </c>
      <c r="S20" s="13">
        <f>'TUSD BE'!$R$20*'TUSD BE'!$S$58</f>
        <v>0</v>
      </c>
      <c r="T20" s="13">
        <f ca="1">SUM($L$20:$S$20)</f>
        <v>5.9259324184573963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-12.301410479131066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-12.301410479131066</v>
      </c>
      <c r="AC20" s="13">
        <f>'TUSD BE'!$AC$20*'TUSD BE'!$AC$58</f>
        <v>-79.205665483698482</v>
      </c>
      <c r="AD20" s="13">
        <f>SUM($AC$20:$AC$20)</f>
        <v>-79.205665483698482</v>
      </c>
      <c r="AE20" s="13">
        <f ca="1">$AO$20*$AO$55</f>
        <v>-5.6501506854027417</v>
      </c>
      <c r="AF20" s="13">
        <f ca="1">$AP$20*$AP$55</f>
        <v>0</v>
      </c>
      <c r="AG20" s="13">
        <f ca="1">SUM($AE$20:$AF$20)</f>
        <v>-5.6501506854027417</v>
      </c>
      <c r="AH20" s="13">
        <f>'TUSD BE'!$AH$20*'TUSD BE'!$AH$58</f>
        <v>-0.77345939308676348</v>
      </c>
      <c r="AI20" s="13">
        <f>'TUSD BE'!$AI$20*'TUSD BE'!$AI$58</f>
        <v>-1.7470615785261635E-2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-0.79093000887202514</v>
      </c>
      <c r="AM20" s="13">
        <f ca="1">SUMIF($L$4:$AL$4,"SUBTOTAL",$L$20:$AL$20)</f>
        <v>-92.022224238646913</v>
      </c>
      <c r="AO20" s="20">
        <f ca="1">+'TUSD BE'!$T$20+'TUSD BE'!$AB$20+'TUSD BE'!$AD$20+'TUSD BE'!$AL$20</f>
        <v>529.62500655318729</v>
      </c>
      <c r="AP20" s="20">
        <f ca="1">+'TUSD BE'!$T$20+'TUSD BE'!$AB$20+'TUSD BE'!$AD$20+'TUSD BE'!$AL$20</f>
        <v>529.62500655318729</v>
      </c>
    </row>
    <row r="21" spans="1:42" ht="11.25" customHeight="1" x14ac:dyDescent="0.25">
      <c r="A21" s="101"/>
      <c r="B21" s="101"/>
      <c r="C21" s="101"/>
      <c r="D21" s="17" t="s">
        <v>29</v>
      </c>
      <c r="E21" s="17" t="s">
        <v>25</v>
      </c>
      <c r="F21" s="17" t="s">
        <v>25</v>
      </c>
      <c r="G21" s="18" t="s">
        <v>79</v>
      </c>
      <c r="H21" s="18" t="s">
        <v>73</v>
      </c>
      <c r="I21" s="18">
        <f>'MERCADO TUSD'!$U$18</f>
        <v>69.570000000000007</v>
      </c>
      <c r="J21" s="15"/>
      <c r="L21" s="13">
        <f>'TUSD BE'!$L$21*'TUSD BE'!$L$58</f>
        <v>0</v>
      </c>
      <c r="M21" s="13">
        <f>'TUSD BE'!$M$21*'TUSD BE'!$M$58</f>
        <v>6.0956798939550007E-2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6.0956798939550007E-2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-12.301410479131066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-12.301410479131066</v>
      </c>
      <c r="AC21" s="13">
        <f>'TUSD BE'!$AC$21*'TUSD BE'!$AC$58</f>
        <v>-79.205665483698482</v>
      </c>
      <c r="AD21" s="13">
        <f>SUM($AC$21:$AC$21)</f>
        <v>-79.205665483698482</v>
      </c>
      <c r="AE21" s="13">
        <f ca="1">$AO$21*$AO$55</f>
        <v>-4.5336291741797838</v>
      </c>
      <c r="AF21" s="13">
        <f ca="1">$AP$21*$AP$55</f>
        <v>0</v>
      </c>
      <c r="AG21" s="13">
        <f ca="1">SUM($AE$21:$AF$21)</f>
        <v>-4.5336291741797838</v>
      </c>
      <c r="AH21" s="13">
        <f>'TUSD BE'!$AH$21*'TUSD BE'!$AH$58</f>
        <v>-0.77345939308676348</v>
      </c>
      <c r="AI21" s="13">
        <f>'TUSD BE'!$AI$21*'TUSD BE'!$AI$58</f>
        <v>-1.7470615785261635E-2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-0.79093000887202514</v>
      </c>
      <c r="AM21" s="13">
        <f ca="1">SUMIF($L$4:$AL$4,"SUBTOTAL",$L$21:$AL$21)</f>
        <v>-96.770678346941807</v>
      </c>
      <c r="AO21" s="20">
        <f ca="1">+'TUSD BE'!$T$21+'TUSD BE'!$AB$21+'TUSD BE'!$AD$21+'TUSD BE'!$AL$21</f>
        <v>424.96625572978633</v>
      </c>
      <c r="AP21" s="20">
        <f ca="1">+'TUSD BE'!$T$21+'TUSD BE'!$AB$21+'TUSD BE'!$AD$21+'TUSD BE'!$AL$21</f>
        <v>424.96625572978633</v>
      </c>
    </row>
    <row r="22" spans="1:42" ht="11.25" customHeight="1" x14ac:dyDescent="0.25">
      <c r="A22" s="101"/>
      <c r="B22" s="101"/>
      <c r="C22" s="101"/>
      <c r="D22" s="17" t="s">
        <v>30</v>
      </c>
      <c r="E22" s="17" t="s">
        <v>25</v>
      </c>
      <c r="F22" s="17" t="s">
        <v>25</v>
      </c>
      <c r="G22" s="18" t="s">
        <v>79</v>
      </c>
      <c r="H22" s="18" t="s">
        <v>73</v>
      </c>
      <c r="I22" s="18">
        <f>'MERCADO TUSD'!$U$19</f>
        <v>149.51999999999998</v>
      </c>
      <c r="J22" s="15"/>
      <c r="L22" s="13">
        <f>'TUSD BE'!$L$22*'TUSD BE'!$L$58</f>
        <v>0</v>
      </c>
      <c r="M22" s="13">
        <f>'TUSD BE'!$M$22*'TUSD BE'!$M$58</f>
        <v>6.0956798939550007E-2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6.0956798939550007E-2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-12.301410479131066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-12.301410479131066</v>
      </c>
      <c r="AC22" s="13">
        <f>'TUSD BE'!$AC$22*'TUSD BE'!$AC$58</f>
        <v>-79.205665483698482</v>
      </c>
      <c r="AD22" s="13">
        <f>SUM($AC$22:$AC$22)</f>
        <v>-79.205665483698482</v>
      </c>
      <c r="AE22" s="13">
        <f ca="1">$AO$22*$AO$55</f>
        <v>-4.5336291741797838</v>
      </c>
      <c r="AF22" s="13">
        <f ca="1">$AP$22*$AP$55</f>
        <v>0</v>
      </c>
      <c r="AG22" s="13">
        <f ca="1">SUM($AE$22:$AF$22)</f>
        <v>-4.5336291741797838</v>
      </c>
      <c r="AH22" s="13">
        <f>'TUSD BE'!$AH$22*'TUSD BE'!$AH$58</f>
        <v>-0.77345939308676348</v>
      </c>
      <c r="AI22" s="13">
        <f>'TUSD BE'!$AI$22*'TUSD BE'!$AI$58</f>
        <v>-1.7470615785261635E-2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-0.79093000887202514</v>
      </c>
      <c r="AM22" s="13">
        <f ca="1">SUMIF($L$4:$AL$4,"SUBTOTAL",$L$22:$AL$22)</f>
        <v>-96.770678346941807</v>
      </c>
      <c r="AO22" s="20">
        <f ca="1">+'TUSD BE'!$T$22+'TUSD BE'!$AB$22+'TUSD BE'!$AD$22+'TUSD BE'!$AL$22</f>
        <v>424.96625572978633</v>
      </c>
      <c r="AP22" s="20">
        <f ca="1">+'TUSD BE'!$T$22+'TUSD BE'!$AB$22+'TUSD BE'!$AD$22+'TUSD BE'!$AL$22</f>
        <v>424.96625572978633</v>
      </c>
    </row>
    <row r="23" spans="1:42" ht="11.25" customHeight="1" x14ac:dyDescent="0.25">
      <c r="A23" s="101"/>
      <c r="B23" s="101"/>
      <c r="C23" s="101"/>
      <c r="D23" s="17" t="s">
        <v>31</v>
      </c>
      <c r="E23" s="17" t="s">
        <v>25</v>
      </c>
      <c r="F23" s="17" t="s">
        <v>25</v>
      </c>
      <c r="G23" s="18" t="s">
        <v>79</v>
      </c>
      <c r="H23" s="18" t="s">
        <v>73</v>
      </c>
      <c r="I23" s="18">
        <f>'MERCADO TUSD'!$U$20</f>
        <v>134.06700000000001</v>
      </c>
      <c r="J23" s="15"/>
      <c r="L23" s="13">
        <f>'TUSD BE'!$L$23*'TUSD BE'!$L$58</f>
        <v>0</v>
      </c>
      <c r="M23" s="13">
        <f>'TUSD BE'!$M$23*'TUSD BE'!$M$58</f>
        <v>6.0956798939550007E-2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6.0956798939550007E-2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-12.301410479131066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-12.301410479131066</v>
      </c>
      <c r="AC23" s="13">
        <f>'TUSD BE'!$AC$23*'TUSD BE'!$AC$58</f>
        <v>-79.205665483698482</v>
      </c>
      <c r="AD23" s="13">
        <f>SUM($AC$23:$AC$23)</f>
        <v>-79.205665483698482</v>
      </c>
      <c r="AE23" s="13">
        <f ca="1">$AO$23*$AO$55</f>
        <v>-4.5336291741797838</v>
      </c>
      <c r="AF23" s="13">
        <f ca="1">$AP$23*$AP$55</f>
        <v>0</v>
      </c>
      <c r="AG23" s="13">
        <f ca="1">SUM($AE$23:$AF$23)</f>
        <v>-4.5336291741797838</v>
      </c>
      <c r="AH23" s="13">
        <f>'TUSD BE'!$AH$23*'TUSD BE'!$AH$58</f>
        <v>-0.77345939308676348</v>
      </c>
      <c r="AI23" s="13">
        <f>'TUSD BE'!$AI$23*'TUSD BE'!$AI$58</f>
        <v>-1.7470615785261635E-2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-0.79093000887202514</v>
      </c>
      <c r="AM23" s="13">
        <f ca="1">SUMIF($L$4:$AL$4,"SUBTOTAL",$L$23:$AL$23)</f>
        <v>-96.770678346941807</v>
      </c>
      <c r="AO23" s="20">
        <f ca="1">+'TUSD BE'!$T$23+'TUSD BE'!$AB$23+'TUSD BE'!$AD$23+'TUSD BE'!$AL$23</f>
        <v>424.96625572978633</v>
      </c>
      <c r="AP23" s="20">
        <f ca="1">+'TUSD BE'!$T$23+'TUSD BE'!$AB$23+'TUSD BE'!$AD$23+'TUSD BE'!$AL$23</f>
        <v>424.96625572978633</v>
      </c>
    </row>
    <row r="24" spans="1:42" ht="11.25" customHeight="1" x14ac:dyDescent="0.25">
      <c r="A24" s="101"/>
      <c r="B24" s="101"/>
      <c r="C24" s="101"/>
      <c r="D24" s="17" t="s">
        <v>32</v>
      </c>
      <c r="E24" s="17" t="s">
        <v>25</v>
      </c>
      <c r="F24" s="17" t="s">
        <v>25</v>
      </c>
      <c r="G24" s="18" t="s">
        <v>79</v>
      </c>
      <c r="H24" s="18" t="s">
        <v>73</v>
      </c>
      <c r="I24" s="18">
        <f>'MERCADO TUSD'!$U$21</f>
        <v>36.650999999999996</v>
      </c>
      <c r="J24" s="15"/>
      <c r="L24" s="13">
        <f>'TUSD BE'!$L$24*'TUSD BE'!$L$58</f>
        <v>0</v>
      </c>
      <c r="M24" s="13">
        <f>'TUSD BE'!$M$24*'TUSD BE'!$M$58</f>
        <v>6.0956798939550007E-2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6.0956798939550007E-2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-12.301410479131066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-12.301410479131066</v>
      </c>
      <c r="AC24" s="13">
        <f>'TUSD BE'!$AC$24*'TUSD BE'!$AC$58</f>
        <v>-79.205665483698482</v>
      </c>
      <c r="AD24" s="13">
        <f>SUM($AC$24:$AC$24)</f>
        <v>-79.205665483698482</v>
      </c>
      <c r="AE24" s="13">
        <f ca="1">$AO$24*$AO$55</f>
        <v>-4.5336291741797838</v>
      </c>
      <c r="AF24" s="13">
        <f ca="1">$AP$24*$AP$55</f>
        <v>0</v>
      </c>
      <c r="AG24" s="13">
        <f ca="1">SUM($AE$24:$AF$24)</f>
        <v>-4.5336291741797838</v>
      </c>
      <c r="AH24" s="13">
        <f>'TUSD BE'!$AH$24*'TUSD BE'!$AH$58</f>
        <v>-0.77345939308676348</v>
      </c>
      <c r="AI24" s="13">
        <f>'TUSD BE'!$AI$24*'TUSD BE'!$AI$58</f>
        <v>-1.7470615785261635E-2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-0.79093000887202514</v>
      </c>
      <c r="AM24" s="13">
        <f ca="1">SUMIF($L$4:$AL$4,"SUBTOTAL",$L$24:$AL$24)</f>
        <v>-96.770678346941807</v>
      </c>
      <c r="AO24" s="20">
        <f ca="1">+'TUSD BE'!$T$24+'TUSD BE'!$AB$24+'TUSD BE'!$AD$24+'TUSD BE'!$AL$24</f>
        <v>424.96625572978633</v>
      </c>
      <c r="AP24" s="20">
        <f ca="1">+'TUSD BE'!$T$24+'TUSD BE'!$AB$24+'TUSD BE'!$AD$24+'TUSD BE'!$AL$24</f>
        <v>424.96625572978633</v>
      </c>
    </row>
    <row r="25" spans="1:42" ht="11.25" customHeight="1" x14ac:dyDescent="0.25">
      <c r="A25" s="101"/>
      <c r="B25" s="101" t="s">
        <v>89</v>
      </c>
      <c r="C25" s="101" t="s">
        <v>24</v>
      </c>
      <c r="D25" s="17" t="s">
        <v>24</v>
      </c>
      <c r="E25" s="17" t="s">
        <v>25</v>
      </c>
      <c r="F25" s="17" t="s">
        <v>25</v>
      </c>
      <c r="G25" s="18" t="s">
        <v>79</v>
      </c>
      <c r="H25" s="18" t="s">
        <v>73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6.0956798939550007E-2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5.0595812514902905</v>
      </c>
      <c r="R25" s="13">
        <f>'TUSD BE'!$R$25*'TUSD BE'!$R$58</f>
        <v>0.80539436802755604</v>
      </c>
      <c r="S25" s="13">
        <f>'TUSD BE'!$R$25*'TUSD BE'!$S$58</f>
        <v>0</v>
      </c>
      <c r="T25" s="13">
        <f ca="1">SUM($L$25:$S$25)</f>
        <v>5.9259324184573963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-12.301410479131066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-12.301410479131066</v>
      </c>
      <c r="AC25" s="13">
        <f>'TUSD BE'!$AC$25*'TUSD BE'!$AC$58</f>
        <v>-79.205665483698482</v>
      </c>
      <c r="AD25" s="13">
        <f>SUM($AC$25:$AC$25)</f>
        <v>-79.205665483698482</v>
      </c>
      <c r="AE25" s="13">
        <f ca="1">$AO$25*$AO$55</f>
        <v>-5.6501506854027417</v>
      </c>
      <c r="AF25" s="13">
        <f ca="1">$AP$25*$AP$55</f>
        <v>0</v>
      </c>
      <c r="AG25" s="13">
        <f ca="1">SUM($AE$25:$AF$25)</f>
        <v>-5.6501506854027417</v>
      </c>
      <c r="AH25" s="13">
        <f>'TUSD BE'!$AH$25*'TUSD BE'!$AH$58</f>
        <v>-0.77345939308676348</v>
      </c>
      <c r="AI25" s="13">
        <f>'TUSD BE'!$AI$25*'TUSD BE'!$AI$58</f>
        <v>-1.7470615785261635E-2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-0.79093000887202514</v>
      </c>
      <c r="AM25" s="13">
        <f ca="1">SUMIF($L$4:$AL$4,"SUBTOTAL",$L$25:$AL$25)</f>
        <v>-92.022224238646913</v>
      </c>
      <c r="AO25" s="20">
        <f ca="1">+'TUSD BE'!$T$25+'TUSD BE'!$AB$25+'TUSD BE'!$AD$25+'TUSD BE'!$AL$25</f>
        <v>529.62500655318729</v>
      </c>
      <c r="AP25" s="20">
        <f ca="1">+'TUSD BE'!$T$25+'TUSD BE'!$AB$25+'TUSD BE'!$AD$25+'TUSD BE'!$AL$25</f>
        <v>529.62500655318729</v>
      </c>
    </row>
    <row r="26" spans="1:42" ht="11.25" customHeight="1" x14ac:dyDescent="0.25">
      <c r="A26" s="101"/>
      <c r="B26" s="101"/>
      <c r="C26" s="101"/>
      <c r="D26" s="17" t="s">
        <v>29</v>
      </c>
      <c r="E26" s="17" t="s">
        <v>25</v>
      </c>
      <c r="F26" s="17" t="s">
        <v>25</v>
      </c>
      <c r="G26" s="18" t="s">
        <v>79</v>
      </c>
      <c r="H26" s="18" t="s">
        <v>73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6.0956798939550007E-2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6.0956798939550007E-2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-12.301410479131066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-12.301410479131066</v>
      </c>
      <c r="AC26" s="13">
        <f>'TUSD BE'!$AC$26*'TUSD BE'!$AC$58</f>
        <v>-79.205665483698482</v>
      </c>
      <c r="AD26" s="13">
        <f>SUM($AC$26:$AC$26)</f>
        <v>-79.205665483698482</v>
      </c>
      <c r="AE26" s="13">
        <f ca="1">$AO$26*$AO$55</f>
        <v>-4.5336291741797838</v>
      </c>
      <c r="AF26" s="13">
        <f ca="1">$AP$26*$AP$55</f>
        <v>0</v>
      </c>
      <c r="AG26" s="13">
        <f ca="1">SUM($AE$26:$AF$26)</f>
        <v>-4.5336291741797838</v>
      </c>
      <c r="AH26" s="13">
        <f>'TUSD BE'!$AH$26*'TUSD BE'!$AH$58</f>
        <v>-0.77345939308676348</v>
      </c>
      <c r="AI26" s="13">
        <f>'TUSD BE'!$AI$26*'TUSD BE'!$AI$58</f>
        <v>-1.7470615785261635E-2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-0.79093000887202514</v>
      </c>
      <c r="AM26" s="13">
        <f ca="1">SUMIF($L$4:$AL$4,"SUBTOTAL",$L$26:$AL$26)</f>
        <v>-96.770678346941807</v>
      </c>
      <c r="AO26" s="20">
        <f ca="1">+'TUSD BE'!$T$26+'TUSD BE'!$AB$26+'TUSD BE'!$AD$26+'TUSD BE'!$AL$26</f>
        <v>424.96625572978633</v>
      </c>
      <c r="AP26" s="20">
        <f ca="1">+'TUSD BE'!$T$26+'TUSD BE'!$AB$26+'TUSD BE'!$AD$26+'TUSD BE'!$AL$26</f>
        <v>424.96625572978633</v>
      </c>
    </row>
    <row r="27" spans="1:42" ht="11.25" customHeight="1" x14ac:dyDescent="0.25">
      <c r="A27" s="101"/>
      <c r="B27" s="101"/>
      <c r="C27" s="101"/>
      <c r="D27" s="17" t="s">
        <v>30</v>
      </c>
      <c r="E27" s="17" t="s">
        <v>25</v>
      </c>
      <c r="F27" s="17" t="s">
        <v>25</v>
      </c>
      <c r="G27" s="18" t="s">
        <v>79</v>
      </c>
      <c r="H27" s="18" t="s">
        <v>73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6.0956798939550007E-2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6.0956798939550007E-2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-12.301410479131066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-12.301410479131066</v>
      </c>
      <c r="AC27" s="13">
        <f>'TUSD BE'!$AC$27*'TUSD BE'!$AC$58</f>
        <v>-79.205665483698482</v>
      </c>
      <c r="AD27" s="13">
        <f>SUM($AC$27:$AC$27)</f>
        <v>-79.205665483698482</v>
      </c>
      <c r="AE27" s="13">
        <f ca="1">$AO$27*$AO$55</f>
        <v>-4.5336291741797838</v>
      </c>
      <c r="AF27" s="13">
        <f ca="1">$AP$27*$AP$55</f>
        <v>0</v>
      </c>
      <c r="AG27" s="13">
        <f ca="1">SUM($AE$27:$AF$27)</f>
        <v>-4.5336291741797838</v>
      </c>
      <c r="AH27" s="13">
        <f>'TUSD BE'!$AH$27*'TUSD BE'!$AH$58</f>
        <v>-0.77345939308676348</v>
      </c>
      <c r="AI27" s="13">
        <f>'TUSD BE'!$AI$27*'TUSD BE'!$AI$58</f>
        <v>-1.7470615785261635E-2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-0.79093000887202514</v>
      </c>
      <c r="AM27" s="13">
        <f ca="1">SUMIF($L$4:$AL$4,"SUBTOTAL",$L$27:$AL$27)</f>
        <v>-96.770678346941807</v>
      </c>
      <c r="AO27" s="20">
        <f ca="1">+'TUSD BE'!$T$27+'TUSD BE'!$AB$27+'TUSD BE'!$AD$27+'TUSD BE'!$AL$27</f>
        <v>424.96625572978633</v>
      </c>
      <c r="AP27" s="20">
        <f ca="1">+'TUSD BE'!$T$27+'TUSD BE'!$AB$27+'TUSD BE'!$AD$27+'TUSD BE'!$AL$27</f>
        <v>424.96625572978633</v>
      </c>
    </row>
    <row r="28" spans="1:42" ht="11.25" customHeight="1" x14ac:dyDescent="0.25">
      <c r="A28" s="101"/>
      <c r="B28" s="101"/>
      <c r="C28" s="101"/>
      <c r="D28" s="17" t="s">
        <v>31</v>
      </c>
      <c r="E28" s="17" t="s">
        <v>25</v>
      </c>
      <c r="F28" s="17" t="s">
        <v>25</v>
      </c>
      <c r="G28" s="18" t="s">
        <v>79</v>
      </c>
      <c r="H28" s="18" t="s">
        <v>73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6.0956798939550007E-2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6.0956798939550007E-2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-12.301410479131066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-12.301410479131066</v>
      </c>
      <c r="AC28" s="13">
        <f>'TUSD BE'!$AC$28*'TUSD BE'!$AC$58</f>
        <v>-79.205665483698482</v>
      </c>
      <c r="AD28" s="13">
        <f>SUM($AC$28:$AC$28)</f>
        <v>-79.205665483698482</v>
      </c>
      <c r="AE28" s="13">
        <f ca="1">$AO$28*$AO$55</f>
        <v>-4.5336291741797838</v>
      </c>
      <c r="AF28" s="13">
        <f ca="1">$AP$28*$AP$55</f>
        <v>0</v>
      </c>
      <c r="AG28" s="13">
        <f ca="1">SUM($AE$28:$AF$28)</f>
        <v>-4.5336291741797838</v>
      </c>
      <c r="AH28" s="13">
        <f>'TUSD BE'!$AH$28*'TUSD BE'!$AH$58</f>
        <v>-0.77345939308676348</v>
      </c>
      <c r="AI28" s="13">
        <f>'TUSD BE'!$AI$28*'TUSD BE'!$AI$58</f>
        <v>-1.7470615785261635E-2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-0.79093000887202514</v>
      </c>
      <c r="AM28" s="13">
        <f ca="1">SUMIF($L$4:$AL$4,"SUBTOTAL",$L$28:$AL$28)</f>
        <v>-96.770678346941807</v>
      </c>
      <c r="AO28" s="20">
        <f ca="1">+'TUSD BE'!$T$28+'TUSD BE'!$AB$28+'TUSD BE'!$AD$28+'TUSD BE'!$AL$28</f>
        <v>424.96625572978633</v>
      </c>
      <c r="AP28" s="20">
        <f ca="1">+'TUSD BE'!$T$28+'TUSD BE'!$AB$28+'TUSD BE'!$AD$28+'TUSD BE'!$AL$28</f>
        <v>424.96625572978633</v>
      </c>
    </row>
    <row r="29" spans="1:42" ht="11.25" customHeight="1" x14ac:dyDescent="0.25">
      <c r="A29" s="101"/>
      <c r="B29" s="101"/>
      <c r="C29" s="101"/>
      <c r="D29" s="17" t="s">
        <v>32</v>
      </c>
      <c r="E29" s="17" t="s">
        <v>25</v>
      </c>
      <c r="F29" s="17" t="s">
        <v>25</v>
      </c>
      <c r="G29" s="18" t="s">
        <v>79</v>
      </c>
      <c r="H29" s="18" t="s">
        <v>73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6.0956798939550007E-2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6.0956798939550007E-2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-12.301410479131066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-12.301410479131066</v>
      </c>
      <c r="AC29" s="13">
        <f>'TUSD BE'!$AC$29*'TUSD BE'!$AC$58</f>
        <v>-79.205665483698482</v>
      </c>
      <c r="AD29" s="13">
        <f>SUM($AC$29:$AC$29)</f>
        <v>-79.205665483698482</v>
      </c>
      <c r="AE29" s="13">
        <f ca="1">$AO$29*$AO$55</f>
        <v>-4.5336291741797838</v>
      </c>
      <c r="AF29" s="13">
        <f ca="1">$AP$29*$AP$55</f>
        <v>0</v>
      </c>
      <c r="AG29" s="13">
        <f ca="1">SUM($AE$29:$AF$29)</f>
        <v>-4.5336291741797838</v>
      </c>
      <c r="AH29" s="13">
        <f>'TUSD BE'!$AH$29*'TUSD BE'!$AH$58</f>
        <v>-0.77345939308676348</v>
      </c>
      <c r="AI29" s="13">
        <f>'TUSD BE'!$AI$29*'TUSD BE'!$AI$58</f>
        <v>-1.7470615785261635E-2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-0.79093000887202514</v>
      </c>
      <c r="AM29" s="13">
        <f ca="1">SUMIF($L$4:$AL$4,"SUBTOTAL",$L$29:$AL$29)</f>
        <v>-96.770678346941807</v>
      </c>
      <c r="AO29" s="20">
        <f ca="1">+'TUSD BE'!$T$29+'TUSD BE'!$AB$29+'TUSD BE'!$AD$29+'TUSD BE'!$AL$29</f>
        <v>424.96625572978633</v>
      </c>
      <c r="AP29" s="20">
        <f ca="1">+'TUSD BE'!$T$29+'TUSD BE'!$AB$29+'TUSD BE'!$AD$29+'TUSD BE'!$AL$29</f>
        <v>424.96625572978633</v>
      </c>
    </row>
    <row r="30" spans="1:42" ht="11.25" customHeight="1" x14ac:dyDescent="0.25">
      <c r="A30" s="101" t="s">
        <v>40</v>
      </c>
      <c r="B30" s="101" t="s">
        <v>87</v>
      </c>
      <c r="C30" s="101" t="s">
        <v>41</v>
      </c>
      <c r="D30" s="101" t="s">
        <v>25</v>
      </c>
      <c r="E30" s="101" t="s">
        <v>25</v>
      </c>
      <c r="F30" s="101" t="s">
        <v>25</v>
      </c>
      <c r="G30" s="18" t="s">
        <v>74</v>
      </c>
      <c r="H30" s="18" t="s">
        <v>73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6.0956798939550007E-2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5.0595812514902905</v>
      </c>
      <c r="R30" s="13">
        <f>'TUSD BE'!$R$30*'TUSD BE'!$R$58</f>
        <v>0.80539436802755604</v>
      </c>
      <c r="S30" s="13">
        <f>'TUSD BE'!$R$30*'TUSD BE'!$S$58</f>
        <v>0</v>
      </c>
      <c r="T30" s="13">
        <f ca="1">SUM($L$30:$S$30)</f>
        <v>5.9259324184573963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-38.135950915039032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-38.135950915039032</v>
      </c>
      <c r="AC30" s="13">
        <f>'TUSD BE'!$AC$30*'TUSD BE'!$AC$58</f>
        <v>-245.53765326738593</v>
      </c>
      <c r="AD30" s="13">
        <f>SUM($AC$30:$AC$30)</f>
        <v>-245.53765326738593</v>
      </c>
      <c r="AE30" s="13">
        <f ca="1">$AO$30*$AO$55</f>
        <v>-14.803444091047375</v>
      </c>
      <c r="AF30" s="13">
        <f ca="1">$AP$30*$AP$55</f>
        <v>0</v>
      </c>
      <c r="AG30" s="13">
        <f ca="1">SUM($AE$30:$AF$30)</f>
        <v>-14.803444091047375</v>
      </c>
      <c r="AH30" s="13">
        <f>'TUSD BE'!$AH$30*'TUSD BE'!$AH$58</f>
        <v>-0.77345939308676348</v>
      </c>
      <c r="AI30" s="13">
        <f>'TUSD BE'!$AI$30*'TUSD BE'!$AI$58</f>
        <v>-1.7470615785261635E-2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-0.79093000887202514</v>
      </c>
      <c r="AM30" s="13">
        <f ca="1">SUMIF($L$4:$AL$4,"SUBTOTAL",$L$30:$AL$30)</f>
        <v>-293.34204586388694</v>
      </c>
      <c r="AO30" s="20">
        <f ca="1">+'TUSD BE'!$T$30+'TUSD BE'!$AB$30+'TUSD BE'!$AD$30+'TUSD BE'!$AL$30</f>
        <v>1387.6221379345131</v>
      </c>
      <c r="AP30" s="20">
        <f ca="1">+'TUSD BE'!$T$30+'TUSD BE'!$AB$30+'TUSD BE'!$AD$30+'TUSD BE'!$AL$30</f>
        <v>1387.6221379345131</v>
      </c>
    </row>
    <row r="31" spans="1:42" ht="11.25" customHeight="1" x14ac:dyDescent="0.25">
      <c r="A31" s="101"/>
      <c r="B31" s="101"/>
      <c r="C31" s="101"/>
      <c r="D31" s="101"/>
      <c r="E31" s="101"/>
      <c r="F31" s="101"/>
      <c r="G31" s="18" t="s">
        <v>85</v>
      </c>
      <c r="H31" s="18" t="s">
        <v>73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6.0956798939550007E-2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5.0595812514902905</v>
      </c>
      <c r="R31" s="13">
        <f>'TUSD BE'!$R$31*'TUSD BE'!$R$58</f>
        <v>0.80539436802755604</v>
      </c>
      <c r="S31" s="13">
        <f>'TUSD BE'!$R$31*'TUSD BE'!$S$58</f>
        <v>0</v>
      </c>
      <c r="T31" s="13">
        <f ca="1">SUM($L$31:$S$31)</f>
        <v>5.9259324184573963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-22.881788263469314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-22.881788263469314</v>
      </c>
      <c r="AC31" s="13">
        <f>'TUSD BE'!$AC$31*'TUSD BE'!$AC$58</f>
        <v>-147.32258411104715</v>
      </c>
      <c r="AD31" s="13">
        <f>SUM($AC$31:$AC$31)</f>
        <v>-147.32258411104715</v>
      </c>
      <c r="AE31" s="13">
        <f ca="1">$AO$31*$AO$55</f>
        <v>-9.3986956687654377</v>
      </c>
      <c r="AF31" s="13">
        <f ca="1">$AP$31*$AP$55</f>
        <v>0</v>
      </c>
      <c r="AG31" s="13">
        <f ca="1">SUM($AE$31:$AF$31)</f>
        <v>-9.3986956687654377</v>
      </c>
      <c r="AH31" s="13">
        <f>'TUSD BE'!$AH$31*'TUSD BE'!$AH$58</f>
        <v>-0.77345939308676348</v>
      </c>
      <c r="AI31" s="13">
        <f>'TUSD BE'!$AI$31*'TUSD BE'!$AI$58</f>
        <v>-1.7470615785261635E-2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-0.79093000887202514</v>
      </c>
      <c r="AM31" s="13">
        <f ca="1">SUMIF($L$4:$AL$4,"SUBTOTAL",$L$31:$AL$31)</f>
        <v>-174.46806563369654</v>
      </c>
      <c r="AO31" s="20">
        <f ca="1">+'TUSD BE'!$T$31+'TUSD BE'!$AB$31+'TUSD BE'!$AD$31+'TUSD BE'!$AL$31</f>
        <v>881.00026571353158</v>
      </c>
      <c r="AP31" s="20">
        <f ca="1">+'TUSD BE'!$T$31+'TUSD BE'!$AB$31+'TUSD BE'!$AD$31+'TUSD BE'!$AL$31</f>
        <v>881.00026571353158</v>
      </c>
    </row>
    <row r="32" spans="1:42" ht="11.25" customHeight="1" x14ac:dyDescent="0.25">
      <c r="A32" s="101"/>
      <c r="B32" s="101"/>
      <c r="C32" s="101"/>
      <c r="D32" s="101"/>
      <c r="E32" s="101"/>
      <c r="F32" s="101"/>
      <c r="G32" s="18" t="s">
        <v>75</v>
      </c>
      <c r="H32" s="18" t="s">
        <v>73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6.0956798939550007E-2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5.0595812514902905</v>
      </c>
      <c r="R32" s="13">
        <f>'TUSD BE'!$R$32*'TUSD BE'!$R$58</f>
        <v>0.80539436802755604</v>
      </c>
      <c r="S32" s="13">
        <f>'TUSD BE'!$R$32*'TUSD BE'!$S$58</f>
        <v>0</v>
      </c>
      <c r="T32" s="13">
        <f ca="1">SUM($L$32:$S$32)</f>
        <v>5.9259324184573963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-7.627625611899596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-7.627625611899596</v>
      </c>
      <c r="AC32" s="13">
        <f>'TUSD BE'!$AC$32*'TUSD BE'!$AC$58</f>
        <v>-49.107514954708371</v>
      </c>
      <c r="AD32" s="13">
        <f>SUM($AC$32:$AC$32)</f>
        <v>-49.107514954708371</v>
      </c>
      <c r="AE32" s="13">
        <f ca="1">$AO$32*$AO$55</f>
        <v>-3.9939472464835051</v>
      </c>
      <c r="AF32" s="13">
        <f ca="1">$AP$32*$AP$55</f>
        <v>0</v>
      </c>
      <c r="AG32" s="13">
        <f ca="1">SUM($AE$32:$AF$32)</f>
        <v>-3.9939472464835051</v>
      </c>
      <c r="AH32" s="13">
        <f>'TUSD BE'!$AH$32*'TUSD BE'!$AH$58</f>
        <v>-0.77345939308676348</v>
      </c>
      <c r="AI32" s="13">
        <f>'TUSD BE'!$AI$32*'TUSD BE'!$AI$58</f>
        <v>-1.7470615785261635E-2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-0.79093000887202514</v>
      </c>
      <c r="AM32" s="13">
        <f ca="1">SUMIF($L$4:$AL$4,"SUBTOTAL",$L$32:$AL$32)</f>
        <v>-55.594085403506107</v>
      </c>
      <c r="AO32" s="20">
        <f ca="1">+'TUSD BE'!$T$32+'TUSD BE'!$AB$32+'TUSD BE'!$AD$32+'TUSD BE'!$AL$32</f>
        <v>374.37839349255034</v>
      </c>
      <c r="AP32" s="20">
        <f ca="1">+'TUSD BE'!$T$32+'TUSD BE'!$AB$32+'TUSD BE'!$AD$32+'TUSD BE'!$AL$32</f>
        <v>374.37839349255034</v>
      </c>
    </row>
    <row r="33" spans="1:42" ht="11.25" customHeight="1" x14ac:dyDescent="0.25">
      <c r="A33" s="101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79</v>
      </c>
      <c r="H33" s="18" t="s">
        <v>73</v>
      </c>
      <c r="I33" s="18">
        <f>'MERCADO TUSD'!$U$30</f>
        <v>5066.7939999999999</v>
      </c>
      <c r="J33" s="15"/>
      <c r="L33" s="13">
        <f>'TUSD BE'!$L$33*'TUSD BE'!$L$58</f>
        <v>0</v>
      </c>
      <c r="M33" s="13">
        <f>'TUSD BE'!$M$33*'TUSD BE'!$M$58</f>
        <v>6.0956798939550007E-2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5.0595812514902905</v>
      </c>
      <c r="R33" s="13">
        <f>'TUSD BE'!$R$33*'TUSD BE'!$R$58</f>
        <v>0.80539436802755604</v>
      </c>
      <c r="S33" s="13">
        <f>'TUSD BE'!$R$33*'TUSD BE'!$S$58</f>
        <v>0</v>
      </c>
      <c r="T33" s="13">
        <f ca="1">SUM($L$33:$S$33)</f>
        <v>5.9259324184573963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-12.301410479131066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-12.301410479131066</v>
      </c>
      <c r="AC33" s="13">
        <f>'TUSD BE'!$AC$33*'TUSD BE'!$AC$58</f>
        <v>-79.205665483698482</v>
      </c>
      <c r="AD33" s="13">
        <f>SUM($AC$33:$AC$33)</f>
        <v>-79.205665483698482</v>
      </c>
      <c r="AE33" s="13">
        <f ca="1">$AO$33*$AO$55</f>
        <v>-5.6501506854027417</v>
      </c>
      <c r="AF33" s="13">
        <f ca="1">$AP$33*$AP$55</f>
        <v>0</v>
      </c>
      <c r="AG33" s="13">
        <f ca="1">SUM($AE$33:$AF$33)</f>
        <v>-5.6501506854027417</v>
      </c>
      <c r="AH33" s="13">
        <f>'TUSD BE'!$AH$33*'TUSD BE'!$AH$58</f>
        <v>-0.77345939308676348</v>
      </c>
      <c r="AI33" s="13">
        <f>'TUSD BE'!$AI$33*'TUSD BE'!$AI$58</f>
        <v>-1.7470615785261635E-2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-0.79093000887202514</v>
      </c>
      <c r="AM33" s="13">
        <f ca="1">SUMIF($L$4:$AL$4,"SUBTOTAL",$L$33:$AL$33)</f>
        <v>-92.022224238646913</v>
      </c>
      <c r="AO33" s="20">
        <f ca="1">+'TUSD BE'!$T$33+'TUSD BE'!$AB$33+'TUSD BE'!$AD$33+'TUSD BE'!$AL$33</f>
        <v>529.62500655318729</v>
      </c>
      <c r="AP33" s="20">
        <f ca="1">+'TUSD BE'!$T$33+'TUSD BE'!$AB$33+'TUSD BE'!$AD$33+'TUSD BE'!$AL$33</f>
        <v>529.62500655318729</v>
      </c>
    </row>
    <row r="34" spans="1:42" ht="11.25" customHeight="1" x14ac:dyDescent="0.25">
      <c r="A34" s="101"/>
      <c r="B34" s="101" t="s">
        <v>87</v>
      </c>
      <c r="C34" s="101" t="s">
        <v>41</v>
      </c>
      <c r="D34" s="101" t="s">
        <v>90</v>
      </c>
      <c r="E34" s="101" t="s">
        <v>25</v>
      </c>
      <c r="F34" s="101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6.0956798939550007E-2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5.0595812514902905</v>
      </c>
      <c r="R34" s="13">
        <f>'TUSD BE'!$R$34*'TUSD BE'!$R$58</f>
        <v>0.80539436802755604</v>
      </c>
      <c r="S34" s="13">
        <f>'TUSD BE'!$R$34*'TUSD BE'!$S$58</f>
        <v>0</v>
      </c>
      <c r="T34" s="13">
        <f ca="1">SUM($L$34:$S$34)</f>
        <v>5.9259324184573963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-38.135950915039032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-38.135950915039032</v>
      </c>
      <c r="AC34" s="13">
        <f>'TUSD BE'!$AC$34*'TUSD BE'!$AC$58</f>
        <v>-245.53765326738593</v>
      </c>
      <c r="AD34" s="13">
        <f>SUM($AC$34:$AC$34)</f>
        <v>-245.53765326738593</v>
      </c>
      <c r="AE34" s="13">
        <f ca="1">$AO$34*$AO$55</f>
        <v>-14.803444091047375</v>
      </c>
      <c r="AF34" s="13">
        <f ca="1">$AP$34*$AP$55</f>
        <v>0</v>
      </c>
      <c r="AG34" s="13">
        <f ca="1">SUM($AE$34:$AF$34)</f>
        <v>-14.803444091047375</v>
      </c>
      <c r="AH34" s="13">
        <f>'TUSD BE'!$AH$34*'TUSD BE'!$AH$58</f>
        <v>-0.77345939308676348</v>
      </c>
      <c r="AI34" s="13">
        <f>'TUSD BE'!$AI$34*'TUSD BE'!$AI$58</f>
        <v>-1.7470615785261635E-2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-0.79093000887202514</v>
      </c>
      <c r="AM34" s="13">
        <f ca="1">SUMIF($L$4:$AL$4,"SUBTOTAL",$L$34:$AL$34)</f>
        <v>-293.34204586388694</v>
      </c>
      <c r="AO34" s="20">
        <f ca="1">+'TUSD BE'!$T$34+'TUSD BE'!$AB$34+'TUSD BE'!$AD$34+'TUSD BE'!$AL$34</f>
        <v>1387.6221379345131</v>
      </c>
      <c r="AP34" s="20">
        <f ca="1">+'TUSD BE'!$T$34+'TUSD BE'!$AB$34+'TUSD BE'!$AD$34+'TUSD BE'!$AL$34</f>
        <v>1387.6221379345131</v>
      </c>
    </row>
    <row r="35" spans="1:42" ht="11.25" customHeight="1" x14ac:dyDescent="0.25">
      <c r="A35" s="101"/>
      <c r="B35" s="101"/>
      <c r="C35" s="101"/>
      <c r="D35" s="101"/>
      <c r="E35" s="101"/>
      <c r="F35" s="101"/>
      <c r="G35" s="18" t="s">
        <v>85</v>
      </c>
      <c r="H35" s="18" t="s">
        <v>73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6.0956798939550007E-2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5.0595812514902905</v>
      </c>
      <c r="R35" s="13">
        <f>'TUSD BE'!$R$35*'TUSD BE'!$R$58</f>
        <v>0.80539436802755604</v>
      </c>
      <c r="S35" s="13">
        <f>'TUSD BE'!$R$35*'TUSD BE'!$S$58</f>
        <v>0</v>
      </c>
      <c r="T35" s="13">
        <f ca="1">SUM($L$35:$S$35)</f>
        <v>5.9259324184573963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-22.881788263469314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-22.881788263469314</v>
      </c>
      <c r="AC35" s="13">
        <f>'TUSD BE'!$AC$35*'TUSD BE'!$AC$58</f>
        <v>-147.32258411104715</v>
      </c>
      <c r="AD35" s="13">
        <f>SUM($AC$35:$AC$35)</f>
        <v>-147.32258411104715</v>
      </c>
      <c r="AE35" s="13">
        <f ca="1">$AO$35*$AO$55</f>
        <v>-9.3986956687654377</v>
      </c>
      <c r="AF35" s="13">
        <f ca="1">$AP$35*$AP$55</f>
        <v>0</v>
      </c>
      <c r="AG35" s="13">
        <f ca="1">SUM($AE$35:$AF$35)</f>
        <v>-9.3986956687654377</v>
      </c>
      <c r="AH35" s="13">
        <f>'TUSD BE'!$AH$35*'TUSD BE'!$AH$58</f>
        <v>-0.77345939308676348</v>
      </c>
      <c r="AI35" s="13">
        <f>'TUSD BE'!$AI$35*'TUSD BE'!$AI$58</f>
        <v>-1.7470615785261635E-2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-0.79093000887202514</v>
      </c>
      <c r="AM35" s="13">
        <f ca="1">SUMIF($L$4:$AL$4,"SUBTOTAL",$L$35:$AL$35)</f>
        <v>-174.46806563369654</v>
      </c>
      <c r="AO35" s="20">
        <f ca="1">+'TUSD BE'!$T$35+'TUSD BE'!$AB$35+'TUSD BE'!$AD$35+'TUSD BE'!$AL$35</f>
        <v>881.00026571353158</v>
      </c>
      <c r="AP35" s="20">
        <f ca="1">+'TUSD BE'!$T$35+'TUSD BE'!$AB$35+'TUSD BE'!$AD$35+'TUSD BE'!$AL$35</f>
        <v>881.00026571353158</v>
      </c>
    </row>
    <row r="36" spans="1:42" ht="11.25" customHeight="1" x14ac:dyDescent="0.25">
      <c r="A36" s="101"/>
      <c r="B36" s="101"/>
      <c r="C36" s="101"/>
      <c r="D36" s="101"/>
      <c r="E36" s="101"/>
      <c r="F36" s="101"/>
      <c r="G36" s="18" t="s">
        <v>75</v>
      </c>
      <c r="H36" s="18" t="s">
        <v>73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6.0956798939550007E-2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5.0595812514902905</v>
      </c>
      <c r="R36" s="13">
        <f>'TUSD BE'!$R$36*'TUSD BE'!$R$58</f>
        <v>0.80539436802755604</v>
      </c>
      <c r="S36" s="13">
        <f>'TUSD BE'!$R$36*'TUSD BE'!$S$58</f>
        <v>0</v>
      </c>
      <c r="T36" s="13">
        <f ca="1">SUM($L$36:$S$36)</f>
        <v>5.9259324184573963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-7.627625611899596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-7.627625611899596</v>
      </c>
      <c r="AC36" s="13">
        <f>'TUSD BE'!$AC$36*'TUSD BE'!$AC$58</f>
        <v>-49.107514954708371</v>
      </c>
      <c r="AD36" s="13">
        <f>SUM($AC$36:$AC$36)</f>
        <v>-49.107514954708371</v>
      </c>
      <c r="AE36" s="13">
        <f ca="1">$AO$36*$AO$55</f>
        <v>-3.9939472464835051</v>
      </c>
      <c r="AF36" s="13">
        <f ca="1">$AP$36*$AP$55</f>
        <v>0</v>
      </c>
      <c r="AG36" s="13">
        <f ca="1">SUM($AE$36:$AF$36)</f>
        <v>-3.9939472464835051</v>
      </c>
      <c r="AH36" s="13">
        <f>'TUSD BE'!$AH$36*'TUSD BE'!$AH$58</f>
        <v>-0.77345939308676348</v>
      </c>
      <c r="AI36" s="13">
        <f>'TUSD BE'!$AI$36*'TUSD BE'!$AI$58</f>
        <v>-1.7470615785261635E-2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-0.79093000887202514</v>
      </c>
      <c r="AM36" s="13">
        <f ca="1">SUMIF($L$4:$AL$4,"SUBTOTAL",$L$36:$AL$36)</f>
        <v>-55.594085403506107</v>
      </c>
      <c r="AO36" s="20">
        <f ca="1">+'TUSD BE'!$T$36+'TUSD BE'!$AB$36+'TUSD BE'!$AD$36+'TUSD BE'!$AL$36</f>
        <v>374.37839349255034</v>
      </c>
      <c r="AP36" s="20">
        <f ca="1">+'TUSD BE'!$T$36+'TUSD BE'!$AB$36+'TUSD BE'!$AD$36+'TUSD BE'!$AL$36</f>
        <v>374.37839349255034</v>
      </c>
    </row>
    <row r="37" spans="1:42" ht="11.25" customHeight="1" x14ac:dyDescent="0.25">
      <c r="A37" s="101"/>
      <c r="B37" s="17" t="s">
        <v>23</v>
      </c>
      <c r="C37" s="17" t="s">
        <v>41</v>
      </c>
      <c r="D37" s="17" t="s">
        <v>90</v>
      </c>
      <c r="E37" s="17" t="s">
        <v>25</v>
      </c>
      <c r="F37" s="17" t="s">
        <v>25</v>
      </c>
      <c r="G37" s="18" t="s">
        <v>79</v>
      </c>
      <c r="H37" s="18" t="s">
        <v>73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6.0956798939550007E-2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5.0595812514902905</v>
      </c>
      <c r="R37" s="13">
        <f>'TUSD BE'!$R$37*'TUSD BE'!$R$58</f>
        <v>0.80539436802755604</v>
      </c>
      <c r="S37" s="13">
        <f>'TUSD BE'!$R$37*'TUSD BE'!$S$58</f>
        <v>0</v>
      </c>
      <c r="T37" s="13">
        <f ca="1">SUM($L$37:$S$37)</f>
        <v>5.9259324184573963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-12.301410479131066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-12.301410479131066</v>
      </c>
      <c r="AC37" s="13">
        <f>'TUSD BE'!$AC$37*'TUSD BE'!$AC$58</f>
        <v>-79.205665483698482</v>
      </c>
      <c r="AD37" s="13">
        <f>SUM($AC$37:$AC$37)</f>
        <v>-79.205665483698482</v>
      </c>
      <c r="AE37" s="13">
        <f ca="1">$AO$37*$AO$55</f>
        <v>-5.6501506854027417</v>
      </c>
      <c r="AF37" s="13">
        <f ca="1">$AP$37*$AP$55</f>
        <v>0</v>
      </c>
      <c r="AG37" s="13">
        <f ca="1">SUM($AE$37:$AF$37)</f>
        <v>-5.6501506854027417</v>
      </c>
      <c r="AH37" s="13">
        <f>'TUSD BE'!$AH$37*'TUSD BE'!$AH$58</f>
        <v>-0.77345939308676348</v>
      </c>
      <c r="AI37" s="13">
        <f>'TUSD BE'!$AI$37*'TUSD BE'!$AI$58</f>
        <v>-1.7470615785261635E-2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-0.79093000887202514</v>
      </c>
      <c r="AM37" s="13">
        <f ca="1">SUMIF($L$4:$AL$4,"SUBTOTAL",$L$37:$AL$37)</f>
        <v>-92.022224238646913</v>
      </c>
      <c r="AO37" s="20">
        <f ca="1">+'TUSD BE'!$T$37+'TUSD BE'!$AB$37+'TUSD BE'!$AD$37+'TUSD BE'!$AL$37</f>
        <v>529.62500655318729</v>
      </c>
      <c r="AP37" s="20">
        <f ca="1">+'TUSD BE'!$T$37+'TUSD BE'!$AB$37+'TUSD BE'!$AD$37+'TUSD BE'!$AL$37</f>
        <v>529.62500655318729</v>
      </c>
    </row>
    <row r="38" spans="1:42" ht="11.25" customHeight="1" x14ac:dyDescent="0.25">
      <c r="A38" s="101"/>
      <c r="B38" s="101" t="s">
        <v>87</v>
      </c>
      <c r="C38" s="101" t="s">
        <v>41</v>
      </c>
      <c r="D38" s="101" t="s">
        <v>91</v>
      </c>
      <c r="E38" s="101" t="s">
        <v>25</v>
      </c>
      <c r="F38" s="101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6.0956798939550007E-2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5.0595812514902905</v>
      </c>
      <c r="R38" s="13">
        <f>'TUSD BE'!$R$38*'TUSD BE'!$R$58</f>
        <v>0.80539436802755604</v>
      </c>
      <c r="S38" s="13">
        <f>'TUSD BE'!$R$38*'TUSD BE'!$S$58</f>
        <v>0</v>
      </c>
      <c r="T38" s="13">
        <f ca="1">SUM($L$38:$S$38)</f>
        <v>5.9259324184573963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-38.135950915039032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-38.135950915039032</v>
      </c>
      <c r="AC38" s="13">
        <f>'TUSD BE'!$AC$38*'TUSD BE'!$AC$58</f>
        <v>-245.53765326738593</v>
      </c>
      <c r="AD38" s="13">
        <f>SUM($AC$38:$AC$38)</f>
        <v>-245.53765326738593</v>
      </c>
      <c r="AE38" s="13">
        <f ca="1">$AO$38*$AO$55</f>
        <v>-14.803444091047375</v>
      </c>
      <c r="AF38" s="13">
        <f ca="1">$AP$38*$AP$55</f>
        <v>0</v>
      </c>
      <c r="AG38" s="13">
        <f ca="1">SUM($AE$38:$AF$38)</f>
        <v>-14.803444091047375</v>
      </c>
      <c r="AH38" s="13">
        <f>'TUSD BE'!$AH$38*'TUSD BE'!$AH$58</f>
        <v>-0.77345939308676348</v>
      </c>
      <c r="AI38" s="13">
        <f>'TUSD BE'!$AI$38*'TUSD BE'!$AI$58</f>
        <v>-1.7470615785261635E-2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-0.79093000887202514</v>
      </c>
      <c r="AM38" s="13">
        <f ca="1">SUMIF($L$4:$AL$4,"SUBTOTAL",$L$38:$AL$38)</f>
        <v>-293.34204586388694</v>
      </c>
      <c r="AO38" s="20">
        <f ca="1">+'TUSD BE'!$T$38+'TUSD BE'!$AB$38+'TUSD BE'!$AD$38+'TUSD BE'!$AL$38</f>
        <v>1387.6221379345131</v>
      </c>
      <c r="AP38" s="20">
        <f ca="1">+'TUSD BE'!$T$38+'TUSD BE'!$AB$38+'TUSD BE'!$AD$38+'TUSD BE'!$AL$38</f>
        <v>1387.6221379345131</v>
      </c>
    </row>
    <row r="39" spans="1:42" ht="11.25" customHeight="1" x14ac:dyDescent="0.25">
      <c r="A39" s="101"/>
      <c r="B39" s="101"/>
      <c r="C39" s="101"/>
      <c r="D39" s="101"/>
      <c r="E39" s="101"/>
      <c r="F39" s="101"/>
      <c r="G39" s="18" t="s">
        <v>85</v>
      </c>
      <c r="H39" s="18" t="s">
        <v>73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6.0956798939550007E-2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5.0595812514902905</v>
      </c>
      <c r="R39" s="13">
        <f>'TUSD BE'!$R$39*'TUSD BE'!$R$58</f>
        <v>0.80539436802755604</v>
      </c>
      <c r="S39" s="13">
        <f>'TUSD BE'!$R$39*'TUSD BE'!$S$58</f>
        <v>0</v>
      </c>
      <c r="T39" s="13">
        <f ca="1">SUM($L$39:$S$39)</f>
        <v>5.9259324184573963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-22.881788263469314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-22.881788263469314</v>
      </c>
      <c r="AC39" s="13">
        <f>'TUSD BE'!$AC$39*'TUSD BE'!$AC$58</f>
        <v>-147.32258411104715</v>
      </c>
      <c r="AD39" s="13">
        <f>SUM($AC$39:$AC$39)</f>
        <v>-147.32258411104715</v>
      </c>
      <c r="AE39" s="13">
        <f ca="1">$AO$39*$AO$55</f>
        <v>-9.3986956687654377</v>
      </c>
      <c r="AF39" s="13">
        <f ca="1">$AP$39*$AP$55</f>
        <v>0</v>
      </c>
      <c r="AG39" s="13">
        <f ca="1">SUM($AE$39:$AF$39)</f>
        <v>-9.3986956687654377</v>
      </c>
      <c r="AH39" s="13">
        <f>'TUSD BE'!$AH$39*'TUSD BE'!$AH$58</f>
        <v>-0.77345939308676348</v>
      </c>
      <c r="AI39" s="13">
        <f>'TUSD BE'!$AI$39*'TUSD BE'!$AI$58</f>
        <v>-1.7470615785261635E-2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-0.79093000887202514</v>
      </c>
      <c r="AM39" s="13">
        <f ca="1">SUMIF($L$4:$AL$4,"SUBTOTAL",$L$39:$AL$39)</f>
        <v>-174.46806563369654</v>
      </c>
      <c r="AO39" s="20">
        <f ca="1">+'TUSD BE'!$T$39+'TUSD BE'!$AB$39+'TUSD BE'!$AD$39+'TUSD BE'!$AL$39</f>
        <v>881.00026571353158</v>
      </c>
      <c r="AP39" s="20">
        <f ca="1">+'TUSD BE'!$T$39+'TUSD BE'!$AB$39+'TUSD BE'!$AD$39+'TUSD BE'!$AL$39</f>
        <v>881.00026571353158</v>
      </c>
    </row>
    <row r="40" spans="1:42" ht="11.25" customHeight="1" x14ac:dyDescent="0.25">
      <c r="A40" s="101"/>
      <c r="B40" s="101"/>
      <c r="C40" s="101"/>
      <c r="D40" s="101"/>
      <c r="E40" s="101"/>
      <c r="F40" s="101"/>
      <c r="G40" s="18" t="s">
        <v>75</v>
      </c>
      <c r="H40" s="18" t="s">
        <v>73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6.0956798939550007E-2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5.0595812514902905</v>
      </c>
      <c r="R40" s="13">
        <f>'TUSD BE'!$R$40*'TUSD BE'!$R$58</f>
        <v>0.80539436802755604</v>
      </c>
      <c r="S40" s="13">
        <f>'TUSD BE'!$R$40*'TUSD BE'!$S$58</f>
        <v>0</v>
      </c>
      <c r="T40" s="13">
        <f ca="1">SUM($L$40:$S$40)</f>
        <v>5.9259324184573963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-7.627625611899596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-7.627625611899596</v>
      </c>
      <c r="AC40" s="13">
        <f>'TUSD BE'!$AC$40*'TUSD BE'!$AC$58</f>
        <v>-49.107514954708371</v>
      </c>
      <c r="AD40" s="13">
        <f>SUM($AC$40:$AC$40)</f>
        <v>-49.107514954708371</v>
      </c>
      <c r="AE40" s="13">
        <f ca="1">$AO$40*$AO$55</f>
        <v>-3.9939472464835051</v>
      </c>
      <c r="AF40" s="13">
        <f ca="1">$AP$40*$AP$55</f>
        <v>0</v>
      </c>
      <c r="AG40" s="13">
        <f ca="1">SUM($AE$40:$AF$40)</f>
        <v>-3.9939472464835051</v>
      </c>
      <c r="AH40" s="13">
        <f>'TUSD BE'!$AH$40*'TUSD BE'!$AH$58</f>
        <v>-0.77345939308676348</v>
      </c>
      <c r="AI40" s="13">
        <f>'TUSD BE'!$AI$40*'TUSD BE'!$AI$58</f>
        <v>-1.7470615785261635E-2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-0.79093000887202514</v>
      </c>
      <c r="AM40" s="13">
        <f ca="1">SUMIF($L$4:$AL$4,"SUBTOTAL",$L$40:$AL$40)</f>
        <v>-55.594085403506107</v>
      </c>
      <c r="AO40" s="20">
        <f ca="1">+'TUSD BE'!$T$40+'TUSD BE'!$AB$40+'TUSD BE'!$AD$40+'TUSD BE'!$AL$40</f>
        <v>374.37839349255034</v>
      </c>
      <c r="AP40" s="20">
        <f ca="1">+'TUSD BE'!$T$40+'TUSD BE'!$AB$40+'TUSD BE'!$AD$40+'TUSD BE'!$AL$40</f>
        <v>374.37839349255034</v>
      </c>
    </row>
    <row r="41" spans="1:42" ht="11.25" customHeight="1" x14ac:dyDescent="0.25">
      <c r="A41" s="101"/>
      <c r="B41" s="17" t="s">
        <v>23</v>
      </c>
      <c r="C41" s="17" t="s">
        <v>41</v>
      </c>
      <c r="D41" s="17" t="s">
        <v>91</v>
      </c>
      <c r="E41" s="17" t="s">
        <v>25</v>
      </c>
      <c r="F41" s="17" t="s">
        <v>25</v>
      </c>
      <c r="G41" s="18" t="s">
        <v>79</v>
      </c>
      <c r="H41" s="18" t="s">
        <v>73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6.0956798939550007E-2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5.0595812514902905</v>
      </c>
      <c r="R41" s="13">
        <f>'TUSD BE'!$R$41*'TUSD BE'!$R$58</f>
        <v>0.80539436802755604</v>
      </c>
      <c r="S41" s="13">
        <f>'TUSD BE'!$R$41*'TUSD BE'!$S$58</f>
        <v>0</v>
      </c>
      <c r="T41" s="13">
        <f ca="1">SUM($L$41:$S$41)</f>
        <v>5.9259324184573963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-12.301410479131066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-12.301410479131066</v>
      </c>
      <c r="AC41" s="13">
        <f>'TUSD BE'!$AC$41*'TUSD BE'!$AC$58</f>
        <v>-79.205665483698482</v>
      </c>
      <c r="AD41" s="13">
        <f>SUM($AC$41:$AC$41)</f>
        <v>-79.205665483698482</v>
      </c>
      <c r="AE41" s="13">
        <f ca="1">$AO$41*$AO$55</f>
        <v>-5.6501506854027417</v>
      </c>
      <c r="AF41" s="13">
        <f ca="1">$AP$41*$AP$55</f>
        <v>0</v>
      </c>
      <c r="AG41" s="13">
        <f ca="1">SUM($AE$41:$AF$41)</f>
        <v>-5.6501506854027417</v>
      </c>
      <c r="AH41" s="13">
        <f>'TUSD BE'!$AH$41*'TUSD BE'!$AH$58</f>
        <v>-0.77345939308676348</v>
      </c>
      <c r="AI41" s="13">
        <f>'TUSD BE'!$AI$41*'TUSD BE'!$AI$58</f>
        <v>-1.7470615785261635E-2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-0.79093000887202514</v>
      </c>
      <c r="AM41" s="13">
        <f ca="1">SUMIF($L$4:$AL$4,"SUBTOTAL",$L$41:$AL$41)</f>
        <v>-92.022224238646913</v>
      </c>
      <c r="AO41" s="20">
        <f ca="1">+'TUSD BE'!$T$41+'TUSD BE'!$AB$41+'TUSD BE'!$AD$41+'TUSD BE'!$AL$41</f>
        <v>529.62500655318729</v>
      </c>
      <c r="AP41" s="20">
        <f ca="1">+'TUSD BE'!$T$41+'TUSD BE'!$AB$41+'TUSD BE'!$AD$41+'TUSD BE'!$AL$41</f>
        <v>529.62500655318729</v>
      </c>
    </row>
    <row r="42" spans="1:42" ht="11.25" customHeight="1" x14ac:dyDescent="0.25">
      <c r="A42" s="101"/>
      <c r="B42" s="101" t="s">
        <v>89</v>
      </c>
      <c r="C42" s="101" t="s">
        <v>41</v>
      </c>
      <c r="D42" s="17" t="s">
        <v>25</v>
      </c>
      <c r="E42" s="17" t="s">
        <v>25</v>
      </c>
      <c r="F42" s="17" t="s">
        <v>25</v>
      </c>
      <c r="G42" s="18" t="s">
        <v>79</v>
      </c>
      <c r="H42" s="18" t="s">
        <v>73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6.0956798939550007E-2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5.0595812514902905</v>
      </c>
      <c r="R42" s="13">
        <f>'TUSD BE'!$R$42*'TUSD BE'!$R$58</f>
        <v>0.80539436802755604</v>
      </c>
      <c r="S42" s="13">
        <f>'TUSD BE'!$R$42*'TUSD BE'!$S$58</f>
        <v>0</v>
      </c>
      <c r="T42" s="13">
        <f ca="1">SUM($L$42:$S$42)</f>
        <v>5.9259324184573963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-12.301410479131066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-12.301410479131066</v>
      </c>
      <c r="AC42" s="13">
        <f>'TUSD BE'!$AC$42*'TUSD BE'!$AC$58</f>
        <v>-79.205665483698482</v>
      </c>
      <c r="AD42" s="13">
        <f>SUM($AC$42:$AC$42)</f>
        <v>-79.205665483698482</v>
      </c>
      <c r="AE42" s="13">
        <f ca="1">$AO$42*$AO$55</f>
        <v>-5.6501506854027417</v>
      </c>
      <c r="AF42" s="13">
        <f ca="1">$AP$42*$AP$55</f>
        <v>0</v>
      </c>
      <c r="AG42" s="13">
        <f ca="1">SUM($AE$42:$AF$42)</f>
        <v>-5.6501506854027417</v>
      </c>
      <c r="AH42" s="13">
        <f>'TUSD BE'!$AH$42*'TUSD BE'!$AH$58</f>
        <v>-0.77345939308676348</v>
      </c>
      <c r="AI42" s="13">
        <f>'TUSD BE'!$AI$42*'TUSD BE'!$AI$58</f>
        <v>-1.7470615785261635E-2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-0.79093000887202514</v>
      </c>
      <c r="AM42" s="13">
        <f ca="1">SUMIF($L$4:$AL$4,"SUBTOTAL",$L$42:$AL$42)</f>
        <v>-92.022224238646913</v>
      </c>
      <c r="AO42" s="20">
        <f ca="1">+'TUSD BE'!$T$42+'TUSD BE'!$AB$42+'TUSD BE'!$AD$42+'TUSD BE'!$AL$42</f>
        <v>529.62500655318729</v>
      </c>
      <c r="AP42" s="20">
        <f ca="1">+'TUSD BE'!$T$42+'TUSD BE'!$AB$42+'TUSD BE'!$AD$42+'TUSD BE'!$AL$42</f>
        <v>529.62500655318729</v>
      </c>
    </row>
    <row r="43" spans="1:42" ht="11.25" customHeight="1" x14ac:dyDescent="0.25">
      <c r="A43" s="101"/>
      <c r="B43" s="101"/>
      <c r="C43" s="101"/>
      <c r="D43" s="17" t="s">
        <v>90</v>
      </c>
      <c r="E43" s="17" t="s">
        <v>25</v>
      </c>
      <c r="F43" s="17" t="s">
        <v>25</v>
      </c>
      <c r="G43" s="18" t="s">
        <v>79</v>
      </c>
      <c r="H43" s="18" t="s">
        <v>73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6.0956798939550007E-2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5.0595812514902905</v>
      </c>
      <c r="R43" s="13">
        <f>'TUSD BE'!$R$43*'TUSD BE'!$R$58</f>
        <v>0.80539436802755604</v>
      </c>
      <c r="S43" s="13">
        <f>'TUSD BE'!$R$43*'TUSD BE'!$S$58</f>
        <v>0</v>
      </c>
      <c r="T43" s="13">
        <f ca="1">SUM($L$43:$S$43)</f>
        <v>5.9259324184573963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-12.301410479131066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-12.301410479131066</v>
      </c>
      <c r="AC43" s="13">
        <f>'TUSD BE'!$AC$43*'TUSD BE'!$AC$58</f>
        <v>-79.205665483698482</v>
      </c>
      <c r="AD43" s="13">
        <f>SUM($AC$43:$AC$43)</f>
        <v>-79.205665483698482</v>
      </c>
      <c r="AE43" s="13">
        <f ca="1">$AO$43*$AO$55</f>
        <v>-5.6501506854027417</v>
      </c>
      <c r="AF43" s="13">
        <f ca="1">$AP$43*$AP$55</f>
        <v>0</v>
      </c>
      <c r="AG43" s="13">
        <f ca="1">SUM($AE$43:$AF$43)</f>
        <v>-5.6501506854027417</v>
      </c>
      <c r="AH43" s="13">
        <f>'TUSD BE'!$AH$43*'TUSD BE'!$AH$58</f>
        <v>-0.77345939308676348</v>
      </c>
      <c r="AI43" s="13">
        <f>'TUSD BE'!$AI$43*'TUSD BE'!$AI$58</f>
        <v>-1.7470615785261635E-2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-0.79093000887202514</v>
      </c>
      <c r="AM43" s="13">
        <f ca="1">SUMIF($L$4:$AL$4,"SUBTOTAL",$L$43:$AL$43)</f>
        <v>-92.022224238646913</v>
      </c>
      <c r="AO43" s="20">
        <f ca="1">+'TUSD BE'!$T$43+'TUSD BE'!$AB$43+'TUSD BE'!$AD$43+'TUSD BE'!$AL$43</f>
        <v>529.62500655318729</v>
      </c>
      <c r="AP43" s="20">
        <f ca="1">+'TUSD BE'!$T$43+'TUSD BE'!$AB$43+'TUSD BE'!$AD$43+'TUSD BE'!$AL$43</f>
        <v>529.62500655318729</v>
      </c>
    </row>
    <row r="44" spans="1:42" ht="11.25" customHeight="1" x14ac:dyDescent="0.25">
      <c r="A44" s="101"/>
      <c r="B44" s="101"/>
      <c r="C44" s="101"/>
      <c r="D44" s="17" t="s">
        <v>91</v>
      </c>
      <c r="E44" s="17" t="s">
        <v>25</v>
      </c>
      <c r="F44" s="17" t="s">
        <v>25</v>
      </c>
      <c r="G44" s="18" t="s">
        <v>79</v>
      </c>
      <c r="H44" s="18" t="s">
        <v>73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6.0956798939550007E-2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5.0595812514902905</v>
      </c>
      <c r="R44" s="13">
        <f>'TUSD BE'!$R$44*'TUSD BE'!$R$58</f>
        <v>0.80539436802755604</v>
      </c>
      <c r="S44" s="13">
        <f>'TUSD BE'!$R$44*'TUSD BE'!$S$58</f>
        <v>0</v>
      </c>
      <c r="T44" s="13">
        <f ca="1">SUM($L$44:$S$44)</f>
        <v>5.9259324184573963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-12.301410479131066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-12.301410479131066</v>
      </c>
      <c r="AC44" s="13">
        <f>'TUSD BE'!$AC$44*'TUSD BE'!$AC$58</f>
        <v>-79.205665483698482</v>
      </c>
      <c r="AD44" s="13">
        <f>SUM($AC$44:$AC$44)</f>
        <v>-79.205665483698482</v>
      </c>
      <c r="AE44" s="13">
        <f ca="1">$AO$44*$AO$55</f>
        <v>-5.6501506854027417</v>
      </c>
      <c r="AF44" s="13">
        <f ca="1">$AP$44*$AP$55</f>
        <v>0</v>
      </c>
      <c r="AG44" s="13">
        <f ca="1">SUM($AE$44:$AF$44)</f>
        <v>-5.6501506854027417</v>
      </c>
      <c r="AH44" s="13">
        <f>'TUSD BE'!$AH$44*'TUSD BE'!$AH$58</f>
        <v>-0.77345939308676348</v>
      </c>
      <c r="AI44" s="13">
        <f>'TUSD BE'!$AI$44*'TUSD BE'!$AI$58</f>
        <v>-1.7470615785261635E-2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-0.79093000887202514</v>
      </c>
      <c r="AM44" s="13">
        <f ca="1">SUMIF($L$4:$AL$4,"SUBTOTAL",$L$44:$AL$44)</f>
        <v>-92.022224238646913</v>
      </c>
      <c r="AO44" s="20">
        <f ca="1">+'TUSD BE'!$T$44+'TUSD BE'!$AB$44+'TUSD BE'!$AD$44+'TUSD BE'!$AL$44</f>
        <v>529.62500655318729</v>
      </c>
      <c r="AP44" s="20">
        <f ca="1">+'TUSD BE'!$T$44+'TUSD BE'!$AB$44+'TUSD BE'!$AD$44+'TUSD BE'!$AL$44</f>
        <v>529.62500655318729</v>
      </c>
    </row>
    <row r="45" spans="1:42" ht="11.25" customHeight="1" x14ac:dyDescent="0.25">
      <c r="A45" s="101" t="s">
        <v>33</v>
      </c>
      <c r="B45" s="101" t="s">
        <v>87</v>
      </c>
      <c r="C45" s="101" t="s">
        <v>25</v>
      </c>
      <c r="D45" s="101" t="s">
        <v>25</v>
      </c>
      <c r="E45" s="101" t="s">
        <v>25</v>
      </c>
      <c r="F45" s="101" t="s">
        <v>25</v>
      </c>
      <c r="G45" s="18" t="s">
        <v>74</v>
      </c>
      <c r="H45" s="18" t="s">
        <v>73</v>
      </c>
      <c r="I45" s="18">
        <f>'MERCADO TUSD'!$U$42</f>
        <v>0</v>
      </c>
      <c r="J45" s="15"/>
      <c r="L45" s="13">
        <f>'TUSD BE'!$L$45*'TUSD BE'!$L$58</f>
        <v>0</v>
      </c>
      <c r="M45" s="13">
        <f>'TUSD BE'!$M$45*'TUSD BE'!$M$58</f>
        <v>6.0956798939550007E-2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5.0595812514902905</v>
      </c>
      <c r="R45" s="13">
        <f>'TUSD BE'!$R$45*'TUSD BE'!$R$58</f>
        <v>0.80539436802755604</v>
      </c>
      <c r="S45" s="13">
        <f>'TUSD BE'!$R$45*'TUSD BE'!$S$58</f>
        <v>0</v>
      </c>
      <c r="T45" s="13">
        <f ca="1">SUM($L$45:$S$45)</f>
        <v>5.9259324184573963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-39.365493248225931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-39.365493248225931</v>
      </c>
      <c r="AC45" s="13">
        <f>'TUSD BE'!$AC$45*'TUSD BE'!$AC$58</f>
        <v>-253.45819234291034</v>
      </c>
      <c r="AD45" s="13">
        <f>SUM($AC$45:$AC$45)</f>
        <v>-253.45819234291034</v>
      </c>
      <c r="AE45" s="13">
        <f ca="1">$AO$45*$AO$55</f>
        <v>-15.239245019885725</v>
      </c>
      <c r="AF45" s="13">
        <f ca="1">$AP$45*$AP$55</f>
        <v>0</v>
      </c>
      <c r="AG45" s="13">
        <f ca="1">SUM($AE$45:$AF$45)</f>
        <v>-15.239245019885725</v>
      </c>
      <c r="AH45" s="13">
        <f>'TUSD BE'!$AH$45*'TUSD BE'!$AH$58</f>
        <v>-0.77345939308676348</v>
      </c>
      <c r="AI45" s="13">
        <f>'TUSD BE'!$AI$45*'TUSD BE'!$AI$58</f>
        <v>-1.7470615785261635E-2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-0.79093000887202514</v>
      </c>
      <c r="AM45" s="13">
        <f ca="1">SUMIF($L$4:$AL$4,"SUBTOTAL",$L$45:$AL$45)</f>
        <v>-302.92792820143666</v>
      </c>
      <c r="AO45" s="20">
        <f ca="1">+'TUSD BE'!$T$45+'TUSD BE'!$AB$45+'TUSD BE'!$AD$45+'TUSD BE'!$AL$45</f>
        <v>1428.4725652316472</v>
      </c>
      <c r="AP45" s="20">
        <f ca="1">+'TUSD BE'!$T$45+'TUSD BE'!$AB$45+'TUSD BE'!$AD$45+'TUSD BE'!$AL$45</f>
        <v>1428.4725652316472</v>
      </c>
    </row>
    <row r="46" spans="1:42" ht="11.25" customHeight="1" x14ac:dyDescent="0.25">
      <c r="A46" s="101"/>
      <c r="B46" s="101"/>
      <c r="C46" s="101"/>
      <c r="D46" s="101"/>
      <c r="E46" s="101"/>
      <c r="F46" s="101"/>
      <c r="G46" s="18" t="s">
        <v>85</v>
      </c>
      <c r="H46" s="18" t="s">
        <v>73</v>
      </c>
      <c r="I46" s="18">
        <f>'MERCADO TUSD'!$U$43</f>
        <v>0</v>
      </c>
      <c r="J46" s="15"/>
      <c r="L46" s="13">
        <f>'TUSD BE'!$L$46*'TUSD BE'!$L$58</f>
        <v>0</v>
      </c>
      <c r="M46" s="13">
        <f>'TUSD BE'!$M$46*'TUSD BE'!$M$58</f>
        <v>6.0956798939550007E-2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5.0595812514902905</v>
      </c>
      <c r="R46" s="13">
        <f>'TUSD BE'!$R$46*'TUSD BE'!$R$58</f>
        <v>0.80539436802755604</v>
      </c>
      <c r="S46" s="13">
        <f>'TUSD BE'!$R$46*'TUSD BE'!$S$58</f>
        <v>0</v>
      </c>
      <c r="T46" s="13">
        <f ca="1">SUM($L$46:$S$46)</f>
        <v>5.9259324184573963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-23.619840235050294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-23.619840235050294</v>
      </c>
      <c r="AC46" s="13">
        <f>'TUSD BE'!$AC$46*'TUSD BE'!$AC$58</f>
        <v>-152.07491540574622</v>
      </c>
      <c r="AD46" s="13">
        <f>SUM($AC$46:$AC$46)</f>
        <v>-152.07491540574622</v>
      </c>
      <c r="AE46" s="13">
        <f ca="1">$AO$46*$AO$55</f>
        <v>-9.660209943737037</v>
      </c>
      <c r="AF46" s="13">
        <f ca="1">$AP$46*$AP$55</f>
        <v>0</v>
      </c>
      <c r="AG46" s="13">
        <f ca="1">SUM($AE$46:$AF$46)</f>
        <v>-9.660209943737037</v>
      </c>
      <c r="AH46" s="13">
        <f>'TUSD BE'!$AH$46*'TUSD BE'!$AH$58</f>
        <v>-0.77345939308676348</v>
      </c>
      <c r="AI46" s="13">
        <f>'TUSD BE'!$AI$46*'TUSD BE'!$AI$58</f>
        <v>-1.7470615785261635E-2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-0.79093000887202514</v>
      </c>
      <c r="AM46" s="13">
        <f ca="1">SUMIF($L$4:$AL$4,"SUBTOTAL",$L$46:$AL$46)</f>
        <v>-180.21996317494819</v>
      </c>
      <c r="AO46" s="20">
        <f ca="1">+'TUSD BE'!$T$46+'TUSD BE'!$AB$46+'TUSD BE'!$AD$46+'TUSD BE'!$AL$46</f>
        <v>905.51368266600571</v>
      </c>
      <c r="AP46" s="20">
        <f ca="1">+'TUSD BE'!$T$46+'TUSD BE'!$AB$46+'TUSD BE'!$AD$46+'TUSD BE'!$AL$46</f>
        <v>905.51368266600571</v>
      </c>
    </row>
    <row r="47" spans="1:42" ht="11.25" customHeight="1" x14ac:dyDescent="0.25">
      <c r="A47" s="101"/>
      <c r="B47" s="101"/>
      <c r="C47" s="101"/>
      <c r="D47" s="101"/>
      <c r="E47" s="101"/>
      <c r="F47" s="101"/>
      <c r="G47" s="18" t="s">
        <v>75</v>
      </c>
      <c r="H47" s="18" t="s">
        <v>73</v>
      </c>
      <c r="I47" s="18">
        <f>'MERCADO TUSD'!$U$44</f>
        <v>0</v>
      </c>
      <c r="J47" s="15"/>
      <c r="L47" s="13">
        <f>'TUSD BE'!$L$47*'TUSD BE'!$L$58</f>
        <v>0</v>
      </c>
      <c r="M47" s="13">
        <f>'TUSD BE'!$M$47*'TUSD BE'!$M$58</f>
        <v>6.0956798939550007E-2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5.0595812514902905</v>
      </c>
      <c r="R47" s="13">
        <f>'TUSD BE'!$R$47*'TUSD BE'!$R$58</f>
        <v>0.80539436802755604</v>
      </c>
      <c r="S47" s="13">
        <f>'TUSD BE'!$R$47*'TUSD BE'!$S$58</f>
        <v>0</v>
      </c>
      <c r="T47" s="13">
        <f ca="1">SUM($L$47:$S$47)</f>
        <v>5.9259324184573963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-7.8730986496451862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-7.8730986496451862</v>
      </c>
      <c r="AC47" s="13">
        <f>'TUSD BE'!$AC$47*'TUSD BE'!$AC$58</f>
        <v>-50.69163846858207</v>
      </c>
      <c r="AD47" s="13">
        <f>SUM($AC$47:$AC$47)</f>
        <v>-50.69163846858207</v>
      </c>
      <c r="AE47" s="13">
        <f ca="1">$AO$47*$AO$55</f>
        <v>-4.0810634994450954</v>
      </c>
      <c r="AF47" s="13">
        <f ca="1">$AP$47*$AP$55</f>
        <v>0</v>
      </c>
      <c r="AG47" s="13">
        <f ca="1">SUM($AE$47:$AF$47)</f>
        <v>-4.0810634994450954</v>
      </c>
      <c r="AH47" s="13">
        <f>'TUSD BE'!$AH$47*'TUSD BE'!$AH$58</f>
        <v>-0.77345939308676348</v>
      </c>
      <c r="AI47" s="13">
        <f>'TUSD BE'!$AI$47*'TUSD BE'!$AI$58</f>
        <v>-1.7470615785261635E-2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-0.79093000887202514</v>
      </c>
      <c r="AM47" s="13">
        <f ca="1">SUMIF($L$4:$AL$4,"SUBTOTAL",$L$47:$AL$47)</f>
        <v>-57.510798208086982</v>
      </c>
      <c r="AO47" s="20">
        <f ca="1">+'TUSD BE'!$T$47+'TUSD BE'!$AB$47+'TUSD BE'!$AD$47+'TUSD BE'!$AL$47</f>
        <v>382.54436084716832</v>
      </c>
      <c r="AP47" s="20">
        <f ca="1">+'TUSD BE'!$T$47+'TUSD BE'!$AB$47+'TUSD BE'!$AD$47+'TUSD BE'!$AL$47</f>
        <v>382.54436084716832</v>
      </c>
    </row>
    <row r="48" spans="1:42" ht="11.25" customHeight="1" x14ac:dyDescent="0.25">
      <c r="A48" s="101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79</v>
      </c>
      <c r="H48" s="18" t="s">
        <v>73</v>
      </c>
      <c r="I48" s="18">
        <f>'MERCADO TUSD'!$U$45</f>
        <v>2202.5430000000001</v>
      </c>
      <c r="J48" s="15"/>
      <c r="L48" s="13">
        <f>'TUSD BE'!$L$48*'TUSD BE'!$L$58</f>
        <v>0</v>
      </c>
      <c r="M48" s="13">
        <f>'TUSD BE'!$M$48*'TUSD BE'!$M$58</f>
        <v>6.0956798939550007E-2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5.0595812514902905</v>
      </c>
      <c r="R48" s="13">
        <f>'TUSD BE'!$R$48*'TUSD BE'!$R$58</f>
        <v>0.80539436802755604</v>
      </c>
      <c r="S48" s="13">
        <f>'TUSD BE'!$R$48*'TUSD BE'!$S$58</f>
        <v>0</v>
      </c>
      <c r="T48" s="13">
        <f ca="1">SUM($L$48:$S$48)</f>
        <v>5.9259324184573963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-12.301410479131066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-12.301410479131066</v>
      </c>
      <c r="AC48" s="13">
        <f>'TUSD BE'!$AC$48*'TUSD BE'!$AC$58</f>
        <v>-79.205665483698482</v>
      </c>
      <c r="AD48" s="13">
        <f>SUM($AC$48:$AC$48)</f>
        <v>-79.205665483698482</v>
      </c>
      <c r="AE48" s="13">
        <f ca="1">$AO$48*$AO$55</f>
        <v>-5.6501506854027417</v>
      </c>
      <c r="AF48" s="13">
        <f ca="1">$AP$48*$AP$55</f>
        <v>0</v>
      </c>
      <c r="AG48" s="13">
        <f ca="1">SUM($AE$48:$AF$48)</f>
        <v>-5.6501506854027417</v>
      </c>
      <c r="AH48" s="13">
        <f>'TUSD BE'!$AH$48*'TUSD BE'!$AH$58</f>
        <v>-0.77345939308676348</v>
      </c>
      <c r="AI48" s="13">
        <f>'TUSD BE'!$AI$48*'TUSD BE'!$AI$58</f>
        <v>-1.7470615785261635E-2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-0.79093000887202514</v>
      </c>
      <c r="AM48" s="13">
        <f ca="1">SUMIF($L$4:$AL$4,"SUBTOTAL",$L$48:$AL$48)</f>
        <v>-92.022224238646913</v>
      </c>
      <c r="AO48" s="20">
        <f ca="1">+'TUSD BE'!$T$48+'TUSD BE'!$AB$48+'TUSD BE'!$AD$48+'TUSD BE'!$AL$48</f>
        <v>529.62500655318729</v>
      </c>
      <c r="AP48" s="20">
        <f ca="1">+'TUSD BE'!$T$48+'TUSD BE'!$AB$48+'TUSD BE'!$AD$48+'TUSD BE'!$AL$48</f>
        <v>529.62500655318729</v>
      </c>
    </row>
    <row r="49" spans="1:42" ht="11.25" customHeight="1" x14ac:dyDescent="0.25">
      <c r="A49" s="101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79</v>
      </c>
      <c r="H49" s="18" t="s">
        <v>73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6.0956798939550007E-2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5.0595812514902905</v>
      </c>
      <c r="R49" s="13">
        <f>'TUSD BE'!$R$49*'TUSD BE'!$R$58</f>
        <v>0.80539436802755604</v>
      </c>
      <c r="S49" s="13">
        <f>'TUSD BE'!$R$49*'TUSD BE'!$S$58</f>
        <v>0</v>
      </c>
      <c r="T49" s="13">
        <f ca="1">SUM($L$49:$S$49)</f>
        <v>5.9259324184573963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-12.301410479131066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-12.301410479131066</v>
      </c>
      <c r="AC49" s="13">
        <f>'TUSD BE'!$AC$49*'TUSD BE'!$AC$58</f>
        <v>-79.205665483698482</v>
      </c>
      <c r="AD49" s="13">
        <f>SUM($AC$49:$AC$49)</f>
        <v>-79.205665483698482</v>
      </c>
      <c r="AE49" s="13">
        <f ca="1">$AO$49*$AO$55</f>
        <v>-5.6501506854027417</v>
      </c>
      <c r="AF49" s="13">
        <f ca="1">$AP$49*$AP$55</f>
        <v>0</v>
      </c>
      <c r="AG49" s="13">
        <f ca="1">SUM($AE$49:$AF$49)</f>
        <v>-5.6501506854027417</v>
      </c>
      <c r="AH49" s="13">
        <f>'TUSD BE'!$AH$49*'TUSD BE'!$AH$58</f>
        <v>-0.77345939308676348</v>
      </c>
      <c r="AI49" s="13">
        <f>'TUSD BE'!$AI$49*'TUSD BE'!$AI$58</f>
        <v>-1.7470615785261635E-2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-0.79093000887202514</v>
      </c>
      <c r="AM49" s="13">
        <f ca="1">SUMIF($L$4:$AL$4,"SUBTOTAL",$L$49:$AL$49)</f>
        <v>-92.022224238646913</v>
      </c>
      <c r="AO49" s="20">
        <f ca="1">+'TUSD BE'!$T$49+'TUSD BE'!$AB$49+'TUSD BE'!$AD$49+'TUSD BE'!$AL$49</f>
        <v>529.62500655318729</v>
      </c>
      <c r="AP49" s="20">
        <f ca="1">+'TUSD BE'!$T$49+'TUSD BE'!$AB$49+'TUSD BE'!$AD$49+'TUSD BE'!$AL$49</f>
        <v>529.62500655318729</v>
      </c>
    </row>
    <row r="50" spans="1:42" ht="11.25" customHeight="1" x14ac:dyDescent="0.25">
      <c r="A50" s="101" t="s">
        <v>43</v>
      </c>
      <c r="B50" s="101" t="s">
        <v>23</v>
      </c>
      <c r="C50" s="101" t="s">
        <v>44</v>
      </c>
      <c r="D50" s="17" t="s">
        <v>45</v>
      </c>
      <c r="E50" s="17" t="s">
        <v>25</v>
      </c>
      <c r="F50" s="17" t="s">
        <v>25</v>
      </c>
      <c r="G50" s="18" t="s">
        <v>79</v>
      </c>
      <c r="H50" s="18" t="s">
        <v>73</v>
      </c>
      <c r="I50" s="18">
        <f>'MERCADO TUSD'!$U$47</f>
        <v>786.13800000000003</v>
      </c>
      <c r="J50" s="15"/>
      <c r="L50" s="13">
        <f>'TUSD BE'!$L$50*'TUSD BE'!$L$58</f>
        <v>0</v>
      </c>
      <c r="M50" s="13">
        <f>'TUSD BE'!$M$50*'TUSD BE'!$M$58</f>
        <v>3.35262394167525E-2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2.78276968831966</v>
      </c>
      <c r="R50" s="13">
        <f>'TUSD BE'!$R$50*'TUSD BE'!$R$58</f>
        <v>0.44296690241515585</v>
      </c>
      <c r="S50" s="13">
        <f>'TUSD BE'!$R$50*'TUSD BE'!$S$58</f>
        <v>0</v>
      </c>
      <c r="T50" s="13">
        <f ca="1">SUM($L$50:$S$50)</f>
        <v>3.259262830151568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-6.7657757635220852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-6.7657757635220852</v>
      </c>
      <c r="AC50" s="13">
        <f>'TUSD BE'!$AC$50*'TUSD BE'!$AC$58</f>
        <v>-43.563116016034165</v>
      </c>
      <c r="AD50" s="13">
        <f>SUM($AC$50:$AC$50)</f>
        <v>-43.563116016034165</v>
      </c>
      <c r="AE50" s="13">
        <f ca="1">$AO$50*$AO$55</f>
        <v>-3.1075828769715077</v>
      </c>
      <c r="AF50" s="13">
        <f ca="1">$AP$50*$AP$55</f>
        <v>0</v>
      </c>
      <c r="AG50" s="13">
        <f ca="1">SUM($AE$50:$AF$50)</f>
        <v>-3.1075828769715077</v>
      </c>
      <c r="AH50" s="13">
        <f>'TUSD BE'!$AH$50*'TUSD BE'!$AH$58</f>
        <v>-0.42540266619771994</v>
      </c>
      <c r="AI50" s="13">
        <f>'TUSD BE'!$AI$50*'TUSD BE'!$AI$58</f>
        <v>-9.6088386818939005E-3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-0.43501150487961382</v>
      </c>
      <c r="AM50" s="13">
        <f ca="1">SUMIF($L$4:$AL$4,"SUBTOTAL",$L$50:$AL$50)</f>
        <v>-50.612223331255798</v>
      </c>
      <c r="AO50" s="20">
        <f ca="1">+'TUSD BE'!$T$50+'TUSD BE'!$AB$50+'TUSD BE'!$AD$50+'TUSD BE'!$AL$50</f>
        <v>291.29375360425297</v>
      </c>
      <c r="AP50" s="20">
        <f ca="1">+'TUSD BE'!$T$50+'TUSD BE'!$AB$50+'TUSD BE'!$AD$50+'TUSD BE'!$AL$50</f>
        <v>291.29375360425297</v>
      </c>
    </row>
    <row r="51" spans="1:42" ht="11.25" customHeight="1" x14ac:dyDescent="0.25">
      <c r="A51" s="101"/>
      <c r="B51" s="101"/>
      <c r="C51" s="101"/>
      <c r="D51" s="18" t="s">
        <v>46</v>
      </c>
      <c r="E51" s="18" t="s">
        <v>25</v>
      </c>
      <c r="F51" s="18" t="s">
        <v>25</v>
      </c>
      <c r="G51" s="18" t="s">
        <v>79</v>
      </c>
      <c r="H51" s="18" t="s">
        <v>73</v>
      </c>
      <c r="I51" s="18">
        <f>'MERCADO TUSD'!$U$48</f>
        <v>25.399000000000001</v>
      </c>
      <c r="J51" s="15"/>
      <c r="L51" s="13">
        <f>'TUSD BE'!$L$51*'TUSD BE'!$L$58</f>
        <v>0</v>
      </c>
      <c r="M51" s="13">
        <f>'TUSD BE'!$M$51*'TUSD BE'!$M$58</f>
        <v>3.657407936373E-2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3.0357487508941743</v>
      </c>
      <c r="R51" s="13">
        <f>'TUSD BE'!$R$51*'TUSD BE'!$R$58</f>
        <v>0.48323662081653357</v>
      </c>
      <c r="S51" s="13">
        <f>'TUSD BE'!$R$51*'TUSD BE'!$S$58</f>
        <v>0</v>
      </c>
      <c r="T51" s="13">
        <f ca="1">SUM($L$51:$S$51)</f>
        <v>3.5555594510744379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-7.3808462874786391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-7.3808462874786391</v>
      </c>
      <c r="AC51" s="13">
        <f>'TUSD BE'!$AC$51*'TUSD BE'!$AC$58</f>
        <v>-47.523399290219082</v>
      </c>
      <c r="AD51" s="13">
        <f>SUM($AC$51:$AC$51)</f>
        <v>-47.523399290219082</v>
      </c>
      <c r="AE51" s="13">
        <f ca="1">$AO$51*$AO$55</f>
        <v>-3.390090411241645</v>
      </c>
      <c r="AF51" s="13">
        <f ca="1">$AP$51*$AP$55</f>
        <v>0</v>
      </c>
      <c r="AG51" s="13">
        <f ca="1">SUM($AE$51:$AF$51)</f>
        <v>-3.390090411241645</v>
      </c>
      <c r="AH51" s="13">
        <f>'TUSD BE'!$AH$51*'TUSD BE'!$AH$58</f>
        <v>-0.46407563585205808</v>
      </c>
      <c r="AI51" s="13">
        <f>'TUSD BE'!$AI$51*'TUSD BE'!$AI$58</f>
        <v>-1.0482369471156982E-2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-0.47455800532321507</v>
      </c>
      <c r="AM51" s="13">
        <f ca="1">SUMIF($L$4:$AL$4,"SUBTOTAL",$L$51:$AL$51)</f>
        <v>-55.213334543188147</v>
      </c>
      <c r="AO51" s="20">
        <f ca="1">+'TUSD BE'!$T$51+'TUSD BE'!$AB$51+'TUSD BE'!$AD$51+'TUSD BE'!$AL$51</f>
        <v>317.77500393191235</v>
      </c>
      <c r="AP51" s="20">
        <f ca="1">+'TUSD BE'!$T$51+'TUSD BE'!$AB$51+'TUSD BE'!$AD$51+'TUSD BE'!$AL$51</f>
        <v>317.77500393191235</v>
      </c>
    </row>
    <row r="53" spans="1:42" ht="11.25" customHeight="1" x14ac:dyDescent="0.25">
      <c r="K53" s="16" t="s">
        <v>521</v>
      </c>
      <c r="L53" s="13">
        <f>SUMPRODUCT($I$5:$I51,$L$5:$L51)</f>
        <v>0</v>
      </c>
      <c r="M53" s="13">
        <f>SUMPRODUCT($I$5:$I51,$M$5:$M51)</f>
        <v>1717.3787376874664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160108.37498343855</v>
      </c>
      <c r="R53" s="13">
        <f>SUMPRODUCT($I$5:$I51,$R$5:$R51)</f>
        <v>28107.862599384742</v>
      </c>
      <c r="S53" s="13">
        <f>SUMPRODUCT($I$5:$I51,$S$5:$S51)</f>
        <v>0</v>
      </c>
      <c r="T53" s="13">
        <f ca="1">SUMPRODUCT($I$5:$I51,$T$5:$T51)</f>
        <v>189933.61632051074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-422390.37368547905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-422390.37368547905</v>
      </c>
      <c r="AC53" s="13">
        <f>SUMPRODUCT($I$5:$I51,$AC$5:$AC51)</f>
        <v>-2231516.880356343</v>
      </c>
      <c r="AD53" s="13">
        <f>SUMPRODUCT($I$5:$I51,$AD$5:$AD51)</f>
        <v>-2231516.880356343</v>
      </c>
      <c r="AE53" s="13">
        <f ca="1">SUMPRODUCT($I$5:$I51,$AE$5:$AE51)</f>
        <v>-170335.22449353104</v>
      </c>
      <c r="AF53" s="13">
        <f ca="1">SUMPRODUCT($I$5:$I51,$AF$5:$AF51)</f>
        <v>0</v>
      </c>
      <c r="AG53" s="13">
        <f ca="1">SUMPRODUCT($I$5:$I51,$AG$5:$AG51)</f>
        <v>-170335.22449353104</v>
      </c>
      <c r="AH53" s="13">
        <f>SUMPRODUCT($I$5:$I51,$AH$5:$AH51)</f>
        <v>-17092.86294593069</v>
      </c>
      <c r="AI53" s="13">
        <f>SUMPRODUCT($I$5:$I51,$AI$5:$AI51)</f>
        <v>-386.10364876756438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-17478.966594698257</v>
      </c>
      <c r="AM53" s="13">
        <f ca="1">SUMPRODUCT($I$5:$I51,$AM$5:$AM51)</f>
        <v>-2651787.8288095407</v>
      </c>
      <c r="AO53" s="18">
        <f ca="1">SUMPRODUCT($I$5:$I51,$AO$5:$AO51)</f>
        <v>15966617.425212016</v>
      </c>
      <c r="AP53" s="18">
        <f ca="1">SUMPRODUCT($I$5:$I51,$AP$5:$AP51)</f>
        <v>15966617.425212016</v>
      </c>
    </row>
    <row r="54" spans="1:42" ht="11.25" customHeight="1" x14ac:dyDescent="0.25">
      <c r="K54" s="16" t="s">
        <v>453</v>
      </c>
      <c r="L54" s="13">
        <f>'TR TUSD'!$L$56</f>
        <v>0</v>
      </c>
      <c r="M54" s="13">
        <f>'TR TUSD'!$M$56</f>
        <v>37038.683252912764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2860082.5921099996</v>
      </c>
      <c r="R54" s="13">
        <f>'TR TUSD'!$R$56</f>
        <v>498272.18112000002</v>
      </c>
      <c r="S54" s="13">
        <f>'TR TUSD'!$S$56</f>
        <v>0</v>
      </c>
      <c r="T54" s="13">
        <f>'TR TUSD'!$T$56</f>
        <v>3395393.4564829124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4050663.7402049992</v>
      </c>
      <c r="Z54" s="13">
        <f>'TR TUSD'!$Z$56</f>
        <v>0</v>
      </c>
      <c r="AA54" s="13">
        <f>'TR TUSD'!$AA$56</f>
        <v>0</v>
      </c>
      <c r="AB54" s="13">
        <f>'TR TUSD'!$AB$56</f>
        <v>4050663.7402049992</v>
      </c>
      <c r="AC54" s="13">
        <f>'TR TUSD'!$AC$56</f>
        <v>8187106.6300000008</v>
      </c>
      <c r="AD54" s="13">
        <f>'TR TUSD'!$AD$56</f>
        <v>8187106.6300000008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326087.73679610278</v>
      </c>
      <c r="AI54" s="13">
        <f>'TR TUSD'!$AI$56</f>
        <v>7365.8617279972041</v>
      </c>
      <c r="AJ54" s="13">
        <f>'TR TUSD'!$AJ$56</f>
        <v>0</v>
      </c>
      <c r="AK54" s="13">
        <f>'TR TUSD'!$AK$56</f>
        <v>0</v>
      </c>
      <c r="AL54" s="13">
        <f>'TR TUSD'!$AL$56</f>
        <v>333453.59852409997</v>
      </c>
      <c r="AM54" s="13">
        <f>'TUSD BE'!$AM$54</f>
        <v>15966617.425212013</v>
      </c>
      <c r="AO54" s="18">
        <f>$AE$55</f>
        <v>-170335.2244935311</v>
      </c>
      <c r="AP54" s="18">
        <f>$AF$55</f>
        <v>0</v>
      </c>
    </row>
    <row r="55" spans="1:42" ht="11.25" customHeight="1" x14ac:dyDescent="0.25">
      <c r="K55" s="16" t="s">
        <v>454</v>
      </c>
      <c r="L55" s="13">
        <f>CUSTOS!$E$2</f>
        <v>0</v>
      </c>
      <c r="M55" s="13">
        <f>CUSTOS!$E$3</f>
        <v>1717.3787376874666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160108.37498343849</v>
      </c>
      <c r="R55" s="13">
        <f>CUSTOS!$E$8</f>
        <v>28107.862599384738</v>
      </c>
      <c r="S55" s="13">
        <f>CUSTOS!$E$9</f>
        <v>0</v>
      </c>
      <c r="T55" s="13">
        <f>CUSTOS!$E$10</f>
        <v>189933.61632051069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-422390.37368547905</v>
      </c>
      <c r="Z55" s="13">
        <f>CUSTOS!$E$16</f>
        <v>0</v>
      </c>
      <c r="AA55" s="13">
        <f>CUSTOS!$E$17</f>
        <v>0</v>
      </c>
      <c r="AB55" s="13">
        <f>CUSTOS!$E$18</f>
        <v>-422390.37368547905</v>
      </c>
      <c r="AC55" s="13">
        <f>CUSTOS!$E$19</f>
        <v>-2231516.880356343</v>
      </c>
      <c r="AD55" s="13">
        <f>CUSTOS!$E$20</f>
        <v>-2231516.880356343</v>
      </c>
      <c r="AE55" s="13">
        <f>CUSTOS!$E$21</f>
        <v>-170335.2244935311</v>
      </c>
      <c r="AF55" s="13">
        <f>CUSTOS!$E$22</f>
        <v>0</v>
      </c>
      <c r="AG55" s="13">
        <f>CUSTOS!$E$23</f>
        <v>-170335.2244935311</v>
      </c>
      <c r="AH55" s="13">
        <f>CUSTOS!$E$24</f>
        <v>-17092.86294593069</v>
      </c>
      <c r="AI55" s="13">
        <f>CUSTOS!$E$25</f>
        <v>-386.10364876756432</v>
      </c>
      <c r="AJ55" s="13">
        <f>CUSTOS!$E$26</f>
        <v>0</v>
      </c>
      <c r="AK55" s="13">
        <f>CUSTOS!$E$27</f>
        <v>0</v>
      </c>
      <c r="AL55" s="13">
        <f>CUSTOS!$E$28</f>
        <v>-17478.966594698253</v>
      </c>
      <c r="AM55" s="13">
        <f>CUSTOS!$E$29</f>
        <v>-2651787.8288095407</v>
      </c>
      <c r="AO55" s="18">
        <f ca="1">IF(AO53&lt;&gt;0,AO54/AO53,0)</f>
        <v>-1.0668209800315251E-2</v>
      </c>
      <c r="AP55" s="18">
        <f ca="1">IF(AP53&lt;&gt;0,AP54/AP53,0)</f>
        <v>0</v>
      </c>
    </row>
    <row r="56" spans="1:42" ht="11.25" customHeight="1" x14ac:dyDescent="0.25">
      <c r="K56" s="16" t="s">
        <v>455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518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530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6.423410751153466E-2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32" priority="55" operator="notEqual">
      <formula>$L$55</formula>
    </cfRule>
    <cfRule type="cellIs" dxfId="931" priority="56" operator="equal">
      <formula>$L$55</formula>
    </cfRule>
  </conditionalFormatting>
  <conditionalFormatting sqref="M53">
    <cfRule type="cellIs" dxfId="930" priority="53" operator="notEqual">
      <formula>$M$55</formula>
    </cfRule>
    <cfRule type="cellIs" dxfId="929" priority="54" operator="equal">
      <formula>$M$55</formula>
    </cfRule>
  </conditionalFormatting>
  <conditionalFormatting sqref="N53">
    <cfRule type="cellIs" dxfId="928" priority="51" operator="notEqual">
      <formula>$N$55</formula>
    </cfRule>
    <cfRule type="cellIs" dxfId="927" priority="52" operator="equal">
      <formula>$N$55</formula>
    </cfRule>
  </conditionalFormatting>
  <conditionalFormatting sqref="O53">
    <cfRule type="cellIs" dxfId="926" priority="49" operator="notEqual">
      <formula>$O$55</formula>
    </cfRule>
    <cfRule type="cellIs" dxfId="925" priority="50" operator="equal">
      <formula>$O$55</formula>
    </cfRule>
  </conditionalFormatting>
  <conditionalFormatting sqref="P53">
    <cfRule type="cellIs" dxfId="924" priority="47" operator="notEqual">
      <formula>$P$55</formula>
    </cfRule>
    <cfRule type="cellIs" dxfId="923" priority="48" operator="equal">
      <formula>$P$55</formula>
    </cfRule>
  </conditionalFormatting>
  <conditionalFormatting sqref="Q53">
    <cfRule type="cellIs" dxfId="922" priority="45" operator="notEqual">
      <formula>$Q$55</formula>
    </cfRule>
    <cfRule type="cellIs" dxfId="921" priority="46" operator="equal">
      <formula>$Q$55</formula>
    </cfRule>
  </conditionalFormatting>
  <conditionalFormatting sqref="R53">
    <cfRule type="cellIs" dxfId="920" priority="43" operator="notEqual">
      <formula>$R$55</formula>
    </cfRule>
    <cfRule type="cellIs" dxfId="919" priority="44" operator="equal">
      <formula>$R$55</formula>
    </cfRule>
  </conditionalFormatting>
  <conditionalFormatting sqref="S53">
    <cfRule type="cellIs" dxfId="918" priority="41" operator="notEqual">
      <formula>$S$55</formula>
    </cfRule>
    <cfRule type="cellIs" dxfId="917" priority="42" operator="equal">
      <formula>$S$55</formula>
    </cfRule>
  </conditionalFormatting>
  <conditionalFormatting sqref="T53">
    <cfRule type="cellIs" dxfId="916" priority="39" operator="notEqual">
      <formula>$T$55</formula>
    </cfRule>
    <cfRule type="cellIs" dxfId="915" priority="40" operator="equal">
      <formula>$T$55</formula>
    </cfRule>
  </conditionalFormatting>
  <conditionalFormatting sqref="U53">
    <cfRule type="cellIs" dxfId="914" priority="37" operator="notEqual">
      <formula>$U$55</formula>
    </cfRule>
    <cfRule type="cellIs" dxfId="913" priority="38" operator="equal">
      <formula>$U$55</formula>
    </cfRule>
  </conditionalFormatting>
  <conditionalFormatting sqref="V53">
    <cfRule type="cellIs" dxfId="912" priority="35" operator="notEqual">
      <formula>$V$55</formula>
    </cfRule>
    <cfRule type="cellIs" dxfId="911" priority="36" operator="equal">
      <formula>$V$55</formula>
    </cfRule>
  </conditionalFormatting>
  <conditionalFormatting sqref="W53">
    <cfRule type="cellIs" dxfId="910" priority="33" operator="notEqual">
      <formula>$W$55</formula>
    </cfRule>
    <cfRule type="cellIs" dxfId="909" priority="34" operator="equal">
      <formula>$W$55</formula>
    </cfRule>
  </conditionalFormatting>
  <conditionalFormatting sqref="X53">
    <cfRule type="cellIs" dxfId="908" priority="31" operator="notEqual">
      <formula>$X$55</formula>
    </cfRule>
    <cfRule type="cellIs" dxfId="907" priority="32" operator="equal">
      <formula>$X$55</formula>
    </cfRule>
  </conditionalFormatting>
  <conditionalFormatting sqref="Y53">
    <cfRule type="cellIs" dxfId="906" priority="29" operator="notEqual">
      <formula>$Y$55</formula>
    </cfRule>
    <cfRule type="cellIs" dxfId="905" priority="30" operator="equal">
      <formula>$Y$55</formula>
    </cfRule>
  </conditionalFormatting>
  <conditionalFormatting sqref="Z53">
    <cfRule type="cellIs" dxfId="904" priority="27" operator="notEqual">
      <formula>$Z$55</formula>
    </cfRule>
    <cfRule type="cellIs" dxfId="903" priority="28" operator="equal">
      <formula>$Z$55</formula>
    </cfRule>
  </conditionalFormatting>
  <conditionalFormatting sqref="AA53">
    <cfRule type="cellIs" dxfId="902" priority="25" operator="notEqual">
      <formula>$AA$55</formula>
    </cfRule>
    <cfRule type="cellIs" dxfId="901" priority="26" operator="equal">
      <formula>$AA$55</formula>
    </cfRule>
  </conditionalFormatting>
  <conditionalFormatting sqref="AB53">
    <cfRule type="cellIs" dxfId="900" priority="23" operator="notEqual">
      <formula>$AB$55</formula>
    </cfRule>
    <cfRule type="cellIs" dxfId="899" priority="24" operator="equal">
      <formula>$AB$55</formula>
    </cfRule>
  </conditionalFormatting>
  <conditionalFormatting sqref="AC53">
    <cfRule type="cellIs" dxfId="898" priority="21" operator="notEqual">
      <formula>$AC$55</formula>
    </cfRule>
    <cfRule type="cellIs" dxfId="897" priority="22" operator="equal">
      <formula>$AC$55</formula>
    </cfRule>
  </conditionalFormatting>
  <conditionalFormatting sqref="AD53">
    <cfRule type="cellIs" dxfId="896" priority="19" operator="notEqual">
      <formula>$AD$55</formula>
    </cfRule>
    <cfRule type="cellIs" dxfId="895" priority="20" operator="equal">
      <formula>$AD$55</formula>
    </cfRule>
  </conditionalFormatting>
  <conditionalFormatting sqref="AE53">
    <cfRule type="cellIs" dxfId="894" priority="17" operator="notEqual">
      <formula>$AE$55</formula>
    </cfRule>
    <cfRule type="cellIs" dxfId="893" priority="18" operator="equal">
      <formula>$AE$55</formula>
    </cfRule>
  </conditionalFormatting>
  <conditionalFormatting sqref="AF53">
    <cfRule type="cellIs" dxfId="892" priority="16" operator="equal">
      <formula>$AF$55</formula>
    </cfRule>
  </conditionalFormatting>
  <conditionalFormatting sqref="AF53">
    <cfRule type="cellIs" dxfId="891" priority="15" operator="notEqual">
      <formula>$AF$55</formula>
    </cfRule>
  </conditionalFormatting>
  <conditionalFormatting sqref="AG53">
    <cfRule type="cellIs" dxfId="890" priority="14" operator="equal">
      <formula>$AG$55</formula>
    </cfRule>
  </conditionalFormatting>
  <conditionalFormatting sqref="AG53">
    <cfRule type="cellIs" dxfId="889" priority="13" operator="notEqual">
      <formula>$AG$55</formula>
    </cfRule>
  </conditionalFormatting>
  <conditionalFormatting sqref="AH53">
    <cfRule type="cellIs" dxfId="888" priority="12" operator="equal">
      <formula>$AH$55</formula>
    </cfRule>
  </conditionalFormatting>
  <conditionalFormatting sqref="AH53">
    <cfRule type="cellIs" dxfId="887" priority="11" operator="notEqual">
      <formula>$AH$55</formula>
    </cfRule>
  </conditionalFormatting>
  <conditionalFormatting sqref="AI53">
    <cfRule type="cellIs" dxfId="886" priority="10" operator="equal">
      <formula>$AI$55</formula>
    </cfRule>
  </conditionalFormatting>
  <conditionalFormatting sqref="AI53">
    <cfRule type="cellIs" dxfId="885" priority="9" operator="notEqual">
      <formula>$AI$55</formula>
    </cfRule>
  </conditionalFormatting>
  <conditionalFormatting sqref="AJ53">
    <cfRule type="cellIs" dxfId="884" priority="8" operator="equal">
      <formula>$AJ$55</formula>
    </cfRule>
  </conditionalFormatting>
  <conditionalFormatting sqref="AJ53">
    <cfRule type="cellIs" dxfId="883" priority="7" operator="notEqual">
      <formula>$AJ$55</formula>
    </cfRule>
  </conditionalFormatting>
  <conditionalFormatting sqref="AK53">
    <cfRule type="cellIs" dxfId="882" priority="6" operator="equal">
      <formula>$AK$55</formula>
    </cfRule>
  </conditionalFormatting>
  <conditionalFormatting sqref="AK53">
    <cfRule type="cellIs" dxfId="881" priority="5" operator="notEqual">
      <formula>$AK$55</formula>
    </cfRule>
  </conditionalFormatting>
  <conditionalFormatting sqref="AL53">
    <cfRule type="cellIs" dxfId="880" priority="4" operator="equal">
      <formula>$AL$55</formula>
    </cfRule>
  </conditionalFormatting>
  <conditionalFormatting sqref="AL53">
    <cfRule type="cellIs" dxfId="879" priority="3" operator="notEqual">
      <formula>$AL$55</formula>
    </cfRule>
  </conditionalFormatting>
  <conditionalFormatting sqref="AM53">
    <cfRule type="cellIs" dxfId="878" priority="2" operator="equal">
      <formula>$AM$55</formula>
    </cfRule>
  </conditionalFormatting>
  <conditionalFormatting sqref="AM53">
    <cfRule type="cellIs" dxfId="877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C4ED-ECAF-489A-883A-F4ED08C3AE84}">
  <dimension ref="A1:AP57"/>
  <sheetViews>
    <sheetView showGridLines="0" topLeftCell="AD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7.855468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9.285156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2" t="s">
        <v>63</v>
      </c>
      <c r="B1" s="102" t="s">
        <v>64</v>
      </c>
      <c r="C1" s="102" t="s">
        <v>65</v>
      </c>
      <c r="D1" s="102" t="s">
        <v>66</v>
      </c>
      <c r="E1" s="102" t="s">
        <v>67</v>
      </c>
      <c r="F1" s="102" t="s">
        <v>15</v>
      </c>
      <c r="G1" s="102" t="s">
        <v>69</v>
      </c>
      <c r="H1" s="102" t="s">
        <v>70</v>
      </c>
      <c r="I1" s="102" t="s">
        <v>512</v>
      </c>
      <c r="J1" s="95"/>
      <c r="L1" s="103" t="s">
        <v>532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O1" s="20"/>
      <c r="AP1" s="106" t="s">
        <v>514</v>
      </c>
    </row>
    <row r="2" spans="1:42" ht="11.2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95"/>
      <c r="L2" s="103" t="s">
        <v>411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O2" s="20"/>
      <c r="AP2" s="107"/>
    </row>
    <row r="3" spans="1:42" ht="11.2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95"/>
      <c r="L3" s="103" t="s">
        <v>412</v>
      </c>
      <c r="M3" s="103"/>
      <c r="N3" s="103"/>
      <c r="O3" s="103"/>
      <c r="P3" s="103"/>
      <c r="Q3" s="103"/>
      <c r="R3" s="103"/>
      <c r="S3" s="103"/>
      <c r="T3" s="103"/>
      <c r="U3" s="103" t="s">
        <v>421</v>
      </c>
      <c r="V3" s="103"/>
      <c r="W3" s="103"/>
      <c r="X3" s="103"/>
      <c r="Y3" s="103"/>
      <c r="Z3" s="103"/>
      <c r="AA3" s="103"/>
      <c r="AB3" s="103"/>
      <c r="AC3" s="103" t="s">
        <v>429</v>
      </c>
      <c r="AD3" s="103"/>
      <c r="AE3" s="103" t="s">
        <v>431</v>
      </c>
      <c r="AF3" s="103"/>
      <c r="AG3" s="103"/>
      <c r="AH3" s="103" t="s">
        <v>434</v>
      </c>
      <c r="AI3" s="103"/>
      <c r="AJ3" s="103"/>
      <c r="AK3" s="103"/>
      <c r="AL3" s="103"/>
      <c r="AM3" s="103" t="s">
        <v>420</v>
      </c>
      <c r="AO3" s="20"/>
      <c r="AP3" s="107"/>
    </row>
    <row r="4" spans="1:42" ht="11.2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95"/>
      <c r="L4" s="10" t="s">
        <v>497</v>
      </c>
      <c r="M4" s="10" t="s">
        <v>413</v>
      </c>
      <c r="N4" s="10" t="s">
        <v>414</v>
      </c>
      <c r="O4" s="10" t="s">
        <v>415</v>
      </c>
      <c r="P4" s="10" t="s">
        <v>416</v>
      </c>
      <c r="Q4" s="10" t="s">
        <v>417</v>
      </c>
      <c r="R4" s="10" t="s">
        <v>418</v>
      </c>
      <c r="S4" s="10" t="s">
        <v>419</v>
      </c>
      <c r="T4" s="10" t="s">
        <v>420</v>
      </c>
      <c r="U4" s="10" t="s">
        <v>422</v>
      </c>
      <c r="V4" s="10" t="s">
        <v>423</v>
      </c>
      <c r="W4" s="10" t="s">
        <v>424</v>
      </c>
      <c r="X4" s="10" t="s">
        <v>425</v>
      </c>
      <c r="Y4" s="10" t="s">
        <v>426</v>
      </c>
      <c r="Z4" s="10" t="s">
        <v>427</v>
      </c>
      <c r="AA4" s="10" t="s">
        <v>428</v>
      </c>
      <c r="AB4" s="10" t="s">
        <v>420</v>
      </c>
      <c r="AC4" s="10" t="s">
        <v>430</v>
      </c>
      <c r="AD4" s="10" t="s">
        <v>420</v>
      </c>
      <c r="AE4" s="10" t="s">
        <v>432</v>
      </c>
      <c r="AF4" s="10" t="s">
        <v>433</v>
      </c>
      <c r="AG4" s="10" t="s">
        <v>420</v>
      </c>
      <c r="AH4" s="10" t="s">
        <v>435</v>
      </c>
      <c r="AI4" s="10" t="s">
        <v>436</v>
      </c>
      <c r="AJ4" s="10" t="s">
        <v>437</v>
      </c>
      <c r="AK4" s="10" t="s">
        <v>438</v>
      </c>
      <c r="AL4" s="10" t="s">
        <v>420</v>
      </c>
      <c r="AM4" s="105"/>
      <c r="AO4" s="21" t="s">
        <v>531</v>
      </c>
      <c r="AP4" s="108"/>
    </row>
    <row r="5" spans="1:42" ht="11.25" customHeight="1" x14ac:dyDescent="0.25">
      <c r="A5" s="101" t="s">
        <v>35</v>
      </c>
      <c r="B5" s="101" t="s">
        <v>54</v>
      </c>
      <c r="C5" s="101" t="s">
        <v>25</v>
      </c>
      <c r="D5" s="101" t="s">
        <v>25</v>
      </c>
      <c r="E5" s="101" t="s">
        <v>25</v>
      </c>
      <c r="F5" s="101" t="s">
        <v>25</v>
      </c>
      <c r="G5" s="18" t="s">
        <v>77</v>
      </c>
      <c r="H5" s="18" t="s">
        <v>76</v>
      </c>
      <c r="I5" s="18">
        <f>'MERCADO TUSD'!$U$2</f>
        <v>1044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114.54359956143443</v>
      </c>
      <c r="AP5" s="20">
        <f ca="1">+'TUSD BE'!$T$5+'TUSD BE'!$AB$5+'TUSD BE'!$AD$5+'TUSD BE'!$AL$5</f>
        <v>114.54359956143443</v>
      </c>
    </row>
    <row r="6" spans="1:42" ht="11.25" customHeight="1" x14ac:dyDescent="0.25">
      <c r="A6" s="101"/>
      <c r="B6" s="101"/>
      <c r="C6" s="101"/>
      <c r="D6" s="101"/>
      <c r="E6" s="101"/>
      <c r="F6" s="101"/>
      <c r="G6" s="18" t="s">
        <v>78</v>
      </c>
      <c r="H6" s="18" t="s">
        <v>76</v>
      </c>
      <c r="I6" s="18">
        <f>'MERCADO TUSD'!$U$3</f>
        <v>1080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35.616748016166788</v>
      </c>
      <c r="AP6" s="20">
        <f ca="1">+'TUSD BE'!$T$6+'TUSD BE'!$AB$6+'TUSD BE'!$AD$6+'TUSD BE'!$AL$6</f>
        <v>35.616748016166788</v>
      </c>
    </row>
    <row r="7" spans="1:42" ht="11.25" customHeight="1" x14ac:dyDescent="0.25">
      <c r="A7" s="101"/>
      <c r="B7" s="101"/>
      <c r="C7" s="101"/>
      <c r="D7" s="101"/>
      <c r="E7" s="101"/>
      <c r="F7" s="101"/>
      <c r="G7" s="18" t="s">
        <v>79</v>
      </c>
      <c r="H7" s="18" t="s">
        <v>73</v>
      </c>
      <c r="I7" s="18">
        <f>'MERCADO TUSD'!$U$4</f>
        <v>562.31000000000006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96.358157189635591</v>
      </c>
      <c r="AP7" s="20">
        <f ca="1">+'TUSD BE'!$T$7+'TUSD BE'!$AB$7+'TUSD BE'!$AD$7+'TUSD BE'!$AL$7</f>
        <v>96.358157189635591</v>
      </c>
    </row>
    <row r="8" spans="1:42" ht="11.25" customHeight="1" x14ac:dyDescent="0.25">
      <c r="A8" s="101"/>
      <c r="B8" s="101"/>
      <c r="C8" s="101"/>
      <c r="D8" s="101"/>
      <c r="E8" s="17" t="s">
        <v>80</v>
      </c>
      <c r="F8" s="17" t="s">
        <v>25</v>
      </c>
      <c r="G8" s="18" t="s">
        <v>79</v>
      </c>
      <c r="H8" s="18" t="s">
        <v>73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6.1604315434625976</v>
      </c>
      <c r="AP8" s="20">
        <f ca="1">+'TUSD BE'!$T$8+'TUSD BE'!$AB$8+'TUSD BE'!$AD$8+'TUSD BE'!$AL$8</f>
        <v>6.1604315434625976</v>
      </c>
    </row>
    <row r="9" spans="1:42" ht="11.25" customHeight="1" x14ac:dyDescent="0.25">
      <c r="A9" s="101"/>
      <c r="B9" s="17" t="s">
        <v>81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76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19.585151605828081</v>
      </c>
      <c r="AP9" s="20">
        <f ca="1">+'TUSD BE'!$T$9+'TUSD BE'!$AB$9+'TUSD BE'!$AD$9+'TUSD BE'!$AL$9</f>
        <v>19.585151605828081</v>
      </c>
    </row>
    <row r="10" spans="1:42" ht="11.25" customHeight="1" x14ac:dyDescent="0.25">
      <c r="A10" s="101"/>
      <c r="B10" s="101" t="s">
        <v>36</v>
      </c>
      <c r="C10" s="101" t="s">
        <v>25</v>
      </c>
      <c r="D10" s="101" t="s">
        <v>25</v>
      </c>
      <c r="E10" s="101" t="s">
        <v>25</v>
      </c>
      <c r="F10" s="101" t="s">
        <v>25</v>
      </c>
      <c r="G10" s="18" t="s">
        <v>9</v>
      </c>
      <c r="H10" s="18" t="s">
        <v>76</v>
      </c>
      <c r="I10" s="18">
        <f>'MERCADO TUSD'!$U$7</f>
        <v>111678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35.616748016166788</v>
      </c>
      <c r="AP10" s="20">
        <f ca="1">+'TUSD BE'!$T$10+'TUSD BE'!$AB$10+'TUSD BE'!$AD$10+'TUSD BE'!$AL$10</f>
        <v>35.616748016166788</v>
      </c>
    </row>
    <row r="11" spans="1:42" ht="11.25" customHeight="1" x14ac:dyDescent="0.25">
      <c r="A11" s="101"/>
      <c r="B11" s="101"/>
      <c r="C11" s="101"/>
      <c r="D11" s="101"/>
      <c r="E11" s="101"/>
      <c r="F11" s="101"/>
      <c r="G11" s="18" t="s">
        <v>74</v>
      </c>
      <c r="H11" s="18" t="s">
        <v>73</v>
      </c>
      <c r="I11" s="18">
        <f>'MERCADO TUSD'!$U$8</f>
        <v>724.46799999999996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2851.0565802368405</v>
      </c>
      <c r="AP11" s="20">
        <f ca="1">+'TUSD BE'!$T$11+'TUSD BE'!$AB$11+'TUSD BE'!$AD$11+'TUSD BE'!$AL$11</f>
        <v>2851.0565802368405</v>
      </c>
    </row>
    <row r="12" spans="1:42" ht="11.25" customHeight="1" x14ac:dyDescent="0.25">
      <c r="A12" s="101"/>
      <c r="B12" s="101"/>
      <c r="C12" s="101"/>
      <c r="D12" s="101"/>
      <c r="E12" s="101"/>
      <c r="F12" s="101"/>
      <c r="G12" s="18" t="s">
        <v>75</v>
      </c>
      <c r="H12" s="18" t="s">
        <v>73</v>
      </c>
      <c r="I12" s="18">
        <f>'MERCADO TUSD'!$U$9</f>
        <v>19056.422999999999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96.358157189635591</v>
      </c>
      <c r="AP12" s="20">
        <f ca="1">+'TUSD BE'!$T$12+'TUSD BE'!$AB$12+'TUSD BE'!$AD$12+'TUSD BE'!$AL$12</f>
        <v>96.358157189635591</v>
      </c>
    </row>
    <row r="13" spans="1:42" ht="11.25" customHeight="1" x14ac:dyDescent="0.25">
      <c r="A13" s="101"/>
      <c r="B13" s="101"/>
      <c r="C13" s="101"/>
      <c r="D13" s="101"/>
      <c r="E13" s="101" t="s">
        <v>80</v>
      </c>
      <c r="F13" s="101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2760.8588545906678</v>
      </c>
      <c r="AP13" s="20">
        <f ca="1">+'TUSD BE'!$T$13+'TUSD BE'!$AB$13+'TUSD BE'!$AD$13+'TUSD BE'!$AL$13</f>
        <v>2760.8588545906678</v>
      </c>
    </row>
    <row r="14" spans="1:42" ht="11.25" customHeight="1" x14ac:dyDescent="0.25">
      <c r="A14" s="101"/>
      <c r="B14" s="101"/>
      <c r="C14" s="101"/>
      <c r="D14" s="101"/>
      <c r="E14" s="101"/>
      <c r="F14" s="101"/>
      <c r="G14" s="18" t="s">
        <v>75</v>
      </c>
      <c r="H14" s="18" t="s">
        <v>73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6.1604315434625976</v>
      </c>
      <c r="AP14" s="20">
        <f ca="1">+'TUSD BE'!$T$14+'TUSD BE'!$AB$14+'TUSD BE'!$AD$14+'TUSD BE'!$AL$14</f>
        <v>6.1604315434625976</v>
      </c>
    </row>
    <row r="15" spans="1:42" ht="11.25" customHeight="1" x14ac:dyDescent="0.25">
      <c r="A15" s="101" t="s">
        <v>82</v>
      </c>
      <c r="B15" s="101" t="s">
        <v>81</v>
      </c>
      <c r="C15" s="101" t="s">
        <v>25</v>
      </c>
      <c r="D15" s="101" t="s">
        <v>25</v>
      </c>
      <c r="E15" s="17" t="s">
        <v>83</v>
      </c>
      <c r="F15" s="17" t="s">
        <v>25</v>
      </c>
      <c r="G15" s="18" t="s">
        <v>9</v>
      </c>
      <c r="H15" s="18" t="s">
        <v>76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3.700843350677856</v>
      </c>
      <c r="AP15" s="20">
        <f ca="1">+'TUSD BE'!$T$15+'TUSD BE'!$AB$15+'TUSD BE'!$AD$15+'TUSD BE'!$AL$15</f>
        <v>3.700843350677856</v>
      </c>
    </row>
    <row r="16" spans="1:42" ht="11.25" customHeight="1" x14ac:dyDescent="0.25">
      <c r="A16" s="101"/>
      <c r="B16" s="101"/>
      <c r="C16" s="101"/>
      <c r="D16" s="101"/>
      <c r="E16" s="17" t="s">
        <v>84</v>
      </c>
      <c r="F16" s="17" t="s">
        <v>25</v>
      </c>
      <c r="G16" s="18" t="s">
        <v>9</v>
      </c>
      <c r="H16" s="18" t="s">
        <v>76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20.370845563659209</v>
      </c>
      <c r="AP16" s="20">
        <f ca="1">+'TUSD BE'!$T$16+'TUSD BE'!$AB$16+'TUSD BE'!$AD$16+'TUSD BE'!$AL$16</f>
        <v>20.370845563659209</v>
      </c>
    </row>
    <row r="17" spans="1:42" ht="11.25" customHeight="1" x14ac:dyDescent="0.25">
      <c r="A17" s="101" t="s">
        <v>22</v>
      </c>
      <c r="B17" s="101" t="s">
        <v>87</v>
      </c>
      <c r="C17" s="101" t="s">
        <v>24</v>
      </c>
      <c r="D17" s="101" t="s">
        <v>24</v>
      </c>
      <c r="E17" s="101" t="s">
        <v>25</v>
      </c>
      <c r="F17" s="101" t="s">
        <v>25</v>
      </c>
      <c r="G17" s="18" t="s">
        <v>74</v>
      </c>
      <c r="H17" s="18" t="s">
        <v>73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1305.9105561047004</v>
      </c>
      <c r="AP17" s="20">
        <f ca="1">+'TUSD BE'!$T$17+'TUSD BE'!$AB$17+'TUSD BE'!$AD$17+'TUSD BE'!$AL$17</f>
        <v>1305.9105561047004</v>
      </c>
    </row>
    <row r="18" spans="1:42" ht="11.25" customHeight="1" x14ac:dyDescent="0.25">
      <c r="A18" s="101"/>
      <c r="B18" s="101"/>
      <c r="C18" s="101"/>
      <c r="D18" s="101"/>
      <c r="E18" s="101"/>
      <c r="F18" s="101"/>
      <c r="G18" s="18" t="s">
        <v>85</v>
      </c>
      <c r="H18" s="18" t="s">
        <v>73</v>
      </c>
      <c r="I18" s="18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831.9680681908111</v>
      </c>
      <c r="AP18" s="20">
        <f ca="1">+'TUSD BE'!$T$18+'TUSD BE'!$AB$18+'TUSD BE'!$AD$18+'TUSD BE'!$AL$18</f>
        <v>831.9680681908111</v>
      </c>
    </row>
    <row r="19" spans="1:42" ht="11.25" customHeight="1" x14ac:dyDescent="0.25">
      <c r="A19" s="101"/>
      <c r="B19" s="101"/>
      <c r="C19" s="101"/>
      <c r="D19" s="101"/>
      <c r="E19" s="101"/>
      <c r="F19" s="101"/>
      <c r="G19" s="18" t="s">
        <v>75</v>
      </c>
      <c r="H19" s="18" t="s">
        <v>73</v>
      </c>
      <c r="I19" s="18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358.03079990352018</v>
      </c>
      <c r="AP19" s="20">
        <f ca="1">+'TUSD BE'!$T$19+'TUSD BE'!$AB$19+'TUSD BE'!$AD$19+'TUSD BE'!$AL$19</f>
        <v>358.03079990352018</v>
      </c>
    </row>
    <row r="20" spans="1:42" ht="11.25" customHeight="1" x14ac:dyDescent="0.25">
      <c r="A20" s="101"/>
      <c r="B20" s="101" t="s">
        <v>23</v>
      </c>
      <c r="C20" s="101" t="s">
        <v>24</v>
      </c>
      <c r="D20" s="17" t="s">
        <v>24</v>
      </c>
      <c r="E20" s="17" t="s">
        <v>25</v>
      </c>
      <c r="F20" s="17" t="s">
        <v>25</v>
      </c>
      <c r="G20" s="18" t="s">
        <v>79</v>
      </c>
      <c r="H20" s="18" t="s">
        <v>73</v>
      </c>
      <c r="I20" s="18">
        <f>'MERCADO TUSD'!$U$17</f>
        <v>6839.3490000000002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529.62500655318729</v>
      </c>
      <c r="AP20" s="20">
        <f ca="1">+'TUSD BE'!$T$20+'TUSD BE'!$AB$20+'TUSD BE'!$AD$20+'TUSD BE'!$AL$20</f>
        <v>529.62500655318729</v>
      </c>
    </row>
    <row r="21" spans="1:42" ht="11.25" customHeight="1" x14ac:dyDescent="0.25">
      <c r="A21" s="101"/>
      <c r="B21" s="101"/>
      <c r="C21" s="101"/>
      <c r="D21" s="17" t="s">
        <v>29</v>
      </c>
      <c r="E21" s="17" t="s">
        <v>25</v>
      </c>
      <c r="F21" s="17" t="s">
        <v>25</v>
      </c>
      <c r="G21" s="18" t="s">
        <v>79</v>
      </c>
      <c r="H21" s="18" t="s">
        <v>73</v>
      </c>
      <c r="I21" s="18">
        <f>'MERCADO TUSD'!$U$18</f>
        <v>69.570000000000007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424.96625572978633</v>
      </c>
      <c r="AP21" s="20">
        <f ca="1">+'TUSD BE'!$T$21+'TUSD BE'!$AB$21+'TUSD BE'!$AD$21+'TUSD BE'!$AL$21</f>
        <v>424.96625572978633</v>
      </c>
    </row>
    <row r="22" spans="1:42" ht="11.25" customHeight="1" x14ac:dyDescent="0.25">
      <c r="A22" s="101"/>
      <c r="B22" s="101"/>
      <c r="C22" s="101"/>
      <c r="D22" s="17" t="s">
        <v>30</v>
      </c>
      <c r="E22" s="17" t="s">
        <v>25</v>
      </c>
      <c r="F22" s="17" t="s">
        <v>25</v>
      </c>
      <c r="G22" s="18" t="s">
        <v>79</v>
      </c>
      <c r="H22" s="18" t="s">
        <v>73</v>
      </c>
      <c r="I22" s="18">
        <f>'MERCADO TUSD'!$U$19</f>
        <v>149.51999999999998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424.96625572978633</v>
      </c>
      <c r="AP22" s="20">
        <f ca="1">+'TUSD BE'!$T$22+'TUSD BE'!$AB$22+'TUSD BE'!$AD$22+'TUSD BE'!$AL$22</f>
        <v>424.96625572978633</v>
      </c>
    </row>
    <row r="23" spans="1:42" ht="11.25" customHeight="1" x14ac:dyDescent="0.25">
      <c r="A23" s="101"/>
      <c r="B23" s="101"/>
      <c r="C23" s="101"/>
      <c r="D23" s="17" t="s">
        <v>31</v>
      </c>
      <c r="E23" s="17" t="s">
        <v>25</v>
      </c>
      <c r="F23" s="17" t="s">
        <v>25</v>
      </c>
      <c r="G23" s="18" t="s">
        <v>79</v>
      </c>
      <c r="H23" s="18" t="s">
        <v>73</v>
      </c>
      <c r="I23" s="18">
        <f>'MERCADO TUSD'!$U$20</f>
        <v>134.06700000000001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424.96625572978633</v>
      </c>
      <c r="AP23" s="20">
        <f ca="1">+'TUSD BE'!$T$23+'TUSD BE'!$AB$23+'TUSD BE'!$AD$23+'TUSD BE'!$AL$23</f>
        <v>424.96625572978633</v>
      </c>
    </row>
    <row r="24" spans="1:42" ht="11.25" customHeight="1" x14ac:dyDescent="0.25">
      <c r="A24" s="101"/>
      <c r="B24" s="101"/>
      <c r="C24" s="101"/>
      <c r="D24" s="17" t="s">
        <v>32</v>
      </c>
      <c r="E24" s="17" t="s">
        <v>25</v>
      </c>
      <c r="F24" s="17" t="s">
        <v>25</v>
      </c>
      <c r="G24" s="18" t="s">
        <v>79</v>
      </c>
      <c r="H24" s="18" t="s">
        <v>73</v>
      </c>
      <c r="I24" s="18">
        <f>'MERCADO TUSD'!$U$21</f>
        <v>36.650999999999996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424.96625572978633</v>
      </c>
      <c r="AP24" s="20">
        <f ca="1">+'TUSD BE'!$T$24+'TUSD BE'!$AB$24+'TUSD BE'!$AD$24+'TUSD BE'!$AL$24</f>
        <v>424.96625572978633</v>
      </c>
    </row>
    <row r="25" spans="1:42" ht="11.25" customHeight="1" x14ac:dyDescent="0.25">
      <c r="A25" s="101"/>
      <c r="B25" s="101" t="s">
        <v>89</v>
      </c>
      <c r="C25" s="101" t="s">
        <v>24</v>
      </c>
      <c r="D25" s="17" t="s">
        <v>24</v>
      </c>
      <c r="E25" s="17" t="s">
        <v>25</v>
      </c>
      <c r="F25" s="17" t="s">
        <v>25</v>
      </c>
      <c r="G25" s="18" t="s">
        <v>79</v>
      </c>
      <c r="H25" s="18" t="s">
        <v>73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529.62500655318729</v>
      </c>
      <c r="AP25" s="20">
        <f ca="1">+'TUSD BE'!$T$25+'TUSD BE'!$AB$25+'TUSD BE'!$AD$25+'TUSD BE'!$AL$25</f>
        <v>529.62500655318729</v>
      </c>
    </row>
    <row r="26" spans="1:42" ht="11.25" customHeight="1" x14ac:dyDescent="0.25">
      <c r="A26" s="101"/>
      <c r="B26" s="101"/>
      <c r="C26" s="101"/>
      <c r="D26" s="17" t="s">
        <v>29</v>
      </c>
      <c r="E26" s="17" t="s">
        <v>25</v>
      </c>
      <c r="F26" s="17" t="s">
        <v>25</v>
      </c>
      <c r="G26" s="18" t="s">
        <v>79</v>
      </c>
      <c r="H26" s="18" t="s">
        <v>73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424.96625572978633</v>
      </c>
      <c r="AP26" s="20">
        <f ca="1">+'TUSD BE'!$T$26+'TUSD BE'!$AB$26+'TUSD BE'!$AD$26+'TUSD BE'!$AL$26</f>
        <v>424.96625572978633</v>
      </c>
    </row>
    <row r="27" spans="1:42" ht="11.25" customHeight="1" x14ac:dyDescent="0.25">
      <c r="A27" s="101"/>
      <c r="B27" s="101"/>
      <c r="C27" s="101"/>
      <c r="D27" s="17" t="s">
        <v>30</v>
      </c>
      <c r="E27" s="17" t="s">
        <v>25</v>
      </c>
      <c r="F27" s="17" t="s">
        <v>25</v>
      </c>
      <c r="G27" s="18" t="s">
        <v>79</v>
      </c>
      <c r="H27" s="18" t="s">
        <v>73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424.96625572978633</v>
      </c>
      <c r="AP27" s="20">
        <f ca="1">+'TUSD BE'!$T$27+'TUSD BE'!$AB$27+'TUSD BE'!$AD$27+'TUSD BE'!$AL$27</f>
        <v>424.96625572978633</v>
      </c>
    </row>
    <row r="28" spans="1:42" ht="11.25" customHeight="1" x14ac:dyDescent="0.25">
      <c r="A28" s="101"/>
      <c r="B28" s="101"/>
      <c r="C28" s="101"/>
      <c r="D28" s="17" t="s">
        <v>31</v>
      </c>
      <c r="E28" s="17" t="s">
        <v>25</v>
      </c>
      <c r="F28" s="17" t="s">
        <v>25</v>
      </c>
      <c r="G28" s="18" t="s">
        <v>79</v>
      </c>
      <c r="H28" s="18" t="s">
        <v>73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424.96625572978633</v>
      </c>
      <c r="AP28" s="20">
        <f ca="1">+'TUSD BE'!$T$28+'TUSD BE'!$AB$28+'TUSD BE'!$AD$28+'TUSD BE'!$AL$28</f>
        <v>424.96625572978633</v>
      </c>
    </row>
    <row r="29" spans="1:42" ht="11.25" customHeight="1" x14ac:dyDescent="0.25">
      <c r="A29" s="101"/>
      <c r="B29" s="101"/>
      <c r="C29" s="101"/>
      <c r="D29" s="17" t="s">
        <v>32</v>
      </c>
      <c r="E29" s="17" t="s">
        <v>25</v>
      </c>
      <c r="F29" s="17" t="s">
        <v>25</v>
      </c>
      <c r="G29" s="18" t="s">
        <v>79</v>
      </c>
      <c r="H29" s="18" t="s">
        <v>73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424.96625572978633</v>
      </c>
      <c r="AP29" s="20">
        <f ca="1">+'TUSD BE'!$T$29+'TUSD BE'!$AB$29+'TUSD BE'!$AD$29+'TUSD BE'!$AL$29</f>
        <v>424.96625572978633</v>
      </c>
    </row>
    <row r="30" spans="1:42" ht="11.25" customHeight="1" x14ac:dyDescent="0.25">
      <c r="A30" s="101" t="s">
        <v>40</v>
      </c>
      <c r="B30" s="101" t="s">
        <v>87</v>
      </c>
      <c r="C30" s="101" t="s">
        <v>41</v>
      </c>
      <c r="D30" s="101" t="s">
        <v>25</v>
      </c>
      <c r="E30" s="101" t="s">
        <v>25</v>
      </c>
      <c r="F30" s="101" t="s">
        <v>25</v>
      </c>
      <c r="G30" s="18" t="s">
        <v>74</v>
      </c>
      <c r="H30" s="18" t="s">
        <v>73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1387.6221379345131</v>
      </c>
      <c r="AP30" s="20">
        <f ca="1">+'TUSD BE'!$T$30+'TUSD BE'!$AB$30+'TUSD BE'!$AD$30+'TUSD BE'!$AL$30</f>
        <v>1387.6221379345131</v>
      </c>
    </row>
    <row r="31" spans="1:42" ht="11.25" customHeight="1" x14ac:dyDescent="0.25">
      <c r="A31" s="101"/>
      <c r="B31" s="101"/>
      <c r="C31" s="101"/>
      <c r="D31" s="101"/>
      <c r="E31" s="101"/>
      <c r="F31" s="101"/>
      <c r="G31" s="18" t="s">
        <v>85</v>
      </c>
      <c r="H31" s="18" t="s">
        <v>73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881.00026571353158</v>
      </c>
      <c r="AP31" s="20">
        <f ca="1">+'TUSD BE'!$T$31+'TUSD BE'!$AB$31+'TUSD BE'!$AD$31+'TUSD BE'!$AL$31</f>
        <v>881.00026571353158</v>
      </c>
    </row>
    <row r="32" spans="1:42" ht="11.25" customHeight="1" x14ac:dyDescent="0.25">
      <c r="A32" s="101"/>
      <c r="B32" s="101"/>
      <c r="C32" s="101"/>
      <c r="D32" s="101"/>
      <c r="E32" s="101"/>
      <c r="F32" s="101"/>
      <c r="G32" s="18" t="s">
        <v>75</v>
      </c>
      <c r="H32" s="18" t="s">
        <v>73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374.37839349255034</v>
      </c>
      <c r="AP32" s="20">
        <f ca="1">+'TUSD BE'!$T$32+'TUSD BE'!$AB$32+'TUSD BE'!$AD$32+'TUSD BE'!$AL$32</f>
        <v>374.37839349255034</v>
      </c>
    </row>
    <row r="33" spans="1:42" ht="11.25" customHeight="1" x14ac:dyDescent="0.25">
      <c r="A33" s="101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79</v>
      </c>
      <c r="H33" s="18" t="s">
        <v>73</v>
      </c>
      <c r="I33" s="18">
        <f>'MERCADO TUSD'!$U$30</f>
        <v>5066.7939999999999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529.62500655318729</v>
      </c>
      <c r="AP33" s="20">
        <f ca="1">+'TUSD BE'!$T$33+'TUSD BE'!$AB$33+'TUSD BE'!$AD$33+'TUSD BE'!$AL$33</f>
        <v>529.62500655318729</v>
      </c>
    </row>
    <row r="34" spans="1:42" ht="11.25" customHeight="1" x14ac:dyDescent="0.25">
      <c r="A34" s="101"/>
      <c r="B34" s="101" t="s">
        <v>87</v>
      </c>
      <c r="C34" s="101" t="s">
        <v>41</v>
      </c>
      <c r="D34" s="101" t="s">
        <v>90</v>
      </c>
      <c r="E34" s="101" t="s">
        <v>25</v>
      </c>
      <c r="F34" s="101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1387.6221379345131</v>
      </c>
      <c r="AP34" s="20">
        <f ca="1">+'TUSD BE'!$T$34+'TUSD BE'!$AB$34+'TUSD BE'!$AD$34+'TUSD BE'!$AL$34</f>
        <v>1387.6221379345131</v>
      </c>
    </row>
    <row r="35" spans="1:42" ht="11.25" customHeight="1" x14ac:dyDescent="0.25">
      <c r="A35" s="101"/>
      <c r="B35" s="101"/>
      <c r="C35" s="101"/>
      <c r="D35" s="101"/>
      <c r="E35" s="101"/>
      <c r="F35" s="101"/>
      <c r="G35" s="18" t="s">
        <v>85</v>
      </c>
      <c r="H35" s="18" t="s">
        <v>73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881.00026571353158</v>
      </c>
      <c r="AP35" s="20">
        <f ca="1">+'TUSD BE'!$T$35+'TUSD BE'!$AB$35+'TUSD BE'!$AD$35+'TUSD BE'!$AL$35</f>
        <v>881.00026571353158</v>
      </c>
    </row>
    <row r="36" spans="1:42" ht="11.25" customHeight="1" x14ac:dyDescent="0.25">
      <c r="A36" s="101"/>
      <c r="B36" s="101"/>
      <c r="C36" s="101"/>
      <c r="D36" s="101"/>
      <c r="E36" s="101"/>
      <c r="F36" s="101"/>
      <c r="G36" s="18" t="s">
        <v>75</v>
      </c>
      <c r="H36" s="18" t="s">
        <v>73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374.37839349255034</v>
      </c>
      <c r="AP36" s="20">
        <f ca="1">+'TUSD BE'!$T$36+'TUSD BE'!$AB$36+'TUSD BE'!$AD$36+'TUSD BE'!$AL$36</f>
        <v>374.37839349255034</v>
      </c>
    </row>
    <row r="37" spans="1:42" ht="11.25" customHeight="1" x14ac:dyDescent="0.25">
      <c r="A37" s="101"/>
      <c r="B37" s="17" t="s">
        <v>23</v>
      </c>
      <c r="C37" s="17" t="s">
        <v>41</v>
      </c>
      <c r="D37" s="17" t="s">
        <v>90</v>
      </c>
      <c r="E37" s="17" t="s">
        <v>25</v>
      </c>
      <c r="F37" s="17" t="s">
        <v>25</v>
      </c>
      <c r="G37" s="18" t="s">
        <v>79</v>
      </c>
      <c r="H37" s="18" t="s">
        <v>73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529.62500655318729</v>
      </c>
      <c r="AP37" s="20">
        <f ca="1">+'TUSD BE'!$T$37+'TUSD BE'!$AB$37+'TUSD BE'!$AD$37+'TUSD BE'!$AL$37</f>
        <v>529.62500655318729</v>
      </c>
    </row>
    <row r="38" spans="1:42" ht="11.25" customHeight="1" x14ac:dyDescent="0.25">
      <c r="A38" s="101"/>
      <c r="B38" s="101" t="s">
        <v>87</v>
      </c>
      <c r="C38" s="101" t="s">
        <v>41</v>
      </c>
      <c r="D38" s="101" t="s">
        <v>91</v>
      </c>
      <c r="E38" s="101" t="s">
        <v>25</v>
      </c>
      <c r="F38" s="101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1387.6221379345131</v>
      </c>
      <c r="AP38" s="20">
        <f ca="1">+'TUSD BE'!$T$38+'TUSD BE'!$AB$38+'TUSD BE'!$AD$38+'TUSD BE'!$AL$38</f>
        <v>1387.6221379345131</v>
      </c>
    </row>
    <row r="39" spans="1:42" ht="11.25" customHeight="1" x14ac:dyDescent="0.25">
      <c r="A39" s="101"/>
      <c r="B39" s="101"/>
      <c r="C39" s="101"/>
      <c r="D39" s="101"/>
      <c r="E39" s="101"/>
      <c r="F39" s="101"/>
      <c r="G39" s="18" t="s">
        <v>85</v>
      </c>
      <c r="H39" s="18" t="s">
        <v>73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881.00026571353158</v>
      </c>
      <c r="AP39" s="20">
        <f ca="1">+'TUSD BE'!$T$39+'TUSD BE'!$AB$39+'TUSD BE'!$AD$39+'TUSD BE'!$AL$39</f>
        <v>881.00026571353158</v>
      </c>
    </row>
    <row r="40" spans="1:42" ht="11.25" customHeight="1" x14ac:dyDescent="0.25">
      <c r="A40" s="101"/>
      <c r="B40" s="101"/>
      <c r="C40" s="101"/>
      <c r="D40" s="101"/>
      <c r="E40" s="101"/>
      <c r="F40" s="101"/>
      <c r="G40" s="18" t="s">
        <v>75</v>
      </c>
      <c r="H40" s="18" t="s">
        <v>73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374.37839349255034</v>
      </c>
      <c r="AP40" s="20">
        <f ca="1">+'TUSD BE'!$T$40+'TUSD BE'!$AB$40+'TUSD BE'!$AD$40+'TUSD BE'!$AL$40</f>
        <v>374.37839349255034</v>
      </c>
    </row>
    <row r="41" spans="1:42" ht="11.25" customHeight="1" x14ac:dyDescent="0.25">
      <c r="A41" s="101"/>
      <c r="B41" s="17" t="s">
        <v>23</v>
      </c>
      <c r="C41" s="17" t="s">
        <v>41</v>
      </c>
      <c r="D41" s="17" t="s">
        <v>91</v>
      </c>
      <c r="E41" s="17" t="s">
        <v>25</v>
      </c>
      <c r="F41" s="17" t="s">
        <v>25</v>
      </c>
      <c r="G41" s="18" t="s">
        <v>79</v>
      </c>
      <c r="H41" s="18" t="s">
        <v>73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529.62500655318729</v>
      </c>
      <c r="AP41" s="20">
        <f ca="1">+'TUSD BE'!$T$41+'TUSD BE'!$AB$41+'TUSD BE'!$AD$41+'TUSD BE'!$AL$41</f>
        <v>529.62500655318729</v>
      </c>
    </row>
    <row r="42" spans="1:42" ht="11.25" customHeight="1" x14ac:dyDescent="0.25">
      <c r="A42" s="101"/>
      <c r="B42" s="101" t="s">
        <v>89</v>
      </c>
      <c r="C42" s="101" t="s">
        <v>41</v>
      </c>
      <c r="D42" s="17" t="s">
        <v>25</v>
      </c>
      <c r="E42" s="17" t="s">
        <v>25</v>
      </c>
      <c r="F42" s="17" t="s">
        <v>25</v>
      </c>
      <c r="G42" s="18" t="s">
        <v>79</v>
      </c>
      <c r="H42" s="18" t="s">
        <v>73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529.62500655318729</v>
      </c>
      <c r="AP42" s="20">
        <f ca="1">+'TUSD BE'!$T$42+'TUSD BE'!$AB$42+'TUSD BE'!$AD$42+'TUSD BE'!$AL$42</f>
        <v>529.62500655318729</v>
      </c>
    </row>
    <row r="43" spans="1:42" ht="11.25" customHeight="1" x14ac:dyDescent="0.25">
      <c r="A43" s="101"/>
      <c r="B43" s="101"/>
      <c r="C43" s="101"/>
      <c r="D43" s="17" t="s">
        <v>90</v>
      </c>
      <c r="E43" s="17" t="s">
        <v>25</v>
      </c>
      <c r="F43" s="17" t="s">
        <v>25</v>
      </c>
      <c r="G43" s="18" t="s">
        <v>79</v>
      </c>
      <c r="H43" s="18" t="s">
        <v>73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529.62500655318729</v>
      </c>
      <c r="AP43" s="20">
        <f ca="1">+'TUSD BE'!$T$43+'TUSD BE'!$AB$43+'TUSD BE'!$AD$43+'TUSD BE'!$AL$43</f>
        <v>529.62500655318729</v>
      </c>
    </row>
    <row r="44" spans="1:42" ht="11.25" customHeight="1" x14ac:dyDescent="0.25">
      <c r="A44" s="101"/>
      <c r="B44" s="101"/>
      <c r="C44" s="101"/>
      <c r="D44" s="17" t="s">
        <v>91</v>
      </c>
      <c r="E44" s="17" t="s">
        <v>25</v>
      </c>
      <c r="F44" s="17" t="s">
        <v>25</v>
      </c>
      <c r="G44" s="18" t="s">
        <v>79</v>
      </c>
      <c r="H44" s="18" t="s">
        <v>73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529.62500655318729</v>
      </c>
      <c r="AP44" s="20">
        <f ca="1">+'TUSD BE'!$T$44+'TUSD BE'!$AB$44+'TUSD BE'!$AD$44+'TUSD BE'!$AL$44</f>
        <v>529.62500655318729</v>
      </c>
    </row>
    <row r="45" spans="1:42" ht="11.25" customHeight="1" x14ac:dyDescent="0.25">
      <c r="A45" s="101" t="s">
        <v>33</v>
      </c>
      <c r="B45" s="101" t="s">
        <v>87</v>
      </c>
      <c r="C45" s="101" t="s">
        <v>25</v>
      </c>
      <c r="D45" s="101" t="s">
        <v>25</v>
      </c>
      <c r="E45" s="101" t="s">
        <v>25</v>
      </c>
      <c r="F45" s="101" t="s">
        <v>25</v>
      </c>
      <c r="G45" s="18" t="s">
        <v>74</v>
      </c>
      <c r="H45" s="18" t="s">
        <v>73</v>
      </c>
      <c r="I45" s="18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1428.4725652316472</v>
      </c>
      <c r="AP45" s="20">
        <f ca="1">+'TUSD BE'!$T$45+'TUSD BE'!$AB$45+'TUSD BE'!$AD$45+'TUSD BE'!$AL$45</f>
        <v>1428.4725652316472</v>
      </c>
    </row>
    <row r="46" spans="1:42" ht="11.25" customHeight="1" x14ac:dyDescent="0.25">
      <c r="A46" s="101"/>
      <c r="B46" s="101"/>
      <c r="C46" s="101"/>
      <c r="D46" s="101"/>
      <c r="E46" s="101"/>
      <c r="F46" s="101"/>
      <c r="G46" s="18" t="s">
        <v>85</v>
      </c>
      <c r="H46" s="18" t="s">
        <v>73</v>
      </c>
      <c r="I46" s="18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905.51368266600571</v>
      </c>
      <c r="AP46" s="20">
        <f ca="1">+'TUSD BE'!$T$46+'TUSD BE'!$AB$46+'TUSD BE'!$AD$46+'TUSD BE'!$AL$46</f>
        <v>905.51368266600571</v>
      </c>
    </row>
    <row r="47" spans="1:42" ht="11.25" customHeight="1" x14ac:dyDescent="0.25">
      <c r="A47" s="101"/>
      <c r="B47" s="101"/>
      <c r="C47" s="101"/>
      <c r="D47" s="101"/>
      <c r="E47" s="101"/>
      <c r="F47" s="101"/>
      <c r="G47" s="18" t="s">
        <v>75</v>
      </c>
      <c r="H47" s="18" t="s">
        <v>73</v>
      </c>
      <c r="I47" s="18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382.54436084716832</v>
      </c>
      <c r="AP47" s="20">
        <f ca="1">+'TUSD BE'!$T$47+'TUSD BE'!$AB$47+'TUSD BE'!$AD$47+'TUSD BE'!$AL$47</f>
        <v>382.54436084716832</v>
      </c>
    </row>
    <row r="48" spans="1:42" ht="11.25" customHeight="1" x14ac:dyDescent="0.25">
      <c r="A48" s="101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79</v>
      </c>
      <c r="H48" s="18" t="s">
        <v>73</v>
      </c>
      <c r="I48" s="18">
        <f>'MERCADO TUSD'!$U$45</f>
        <v>2202.5430000000001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529.62500655318729</v>
      </c>
      <c r="AP48" s="20">
        <f ca="1">+'TUSD BE'!$T$48+'TUSD BE'!$AB$48+'TUSD BE'!$AD$48+'TUSD BE'!$AL$48</f>
        <v>529.62500655318729</v>
      </c>
    </row>
    <row r="49" spans="1:42" ht="11.25" customHeight="1" x14ac:dyDescent="0.25">
      <c r="A49" s="101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79</v>
      </c>
      <c r="H49" s="18" t="s">
        <v>73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529.62500655318729</v>
      </c>
      <c r="AP49" s="20">
        <f ca="1">+'TUSD BE'!$T$49+'TUSD BE'!$AB$49+'TUSD BE'!$AD$49+'TUSD BE'!$AL$49</f>
        <v>529.62500655318729</v>
      </c>
    </row>
    <row r="50" spans="1:42" ht="11.25" customHeight="1" x14ac:dyDescent="0.25">
      <c r="A50" s="101" t="s">
        <v>43</v>
      </c>
      <c r="B50" s="101" t="s">
        <v>23</v>
      </c>
      <c r="C50" s="101" t="s">
        <v>44</v>
      </c>
      <c r="D50" s="17" t="s">
        <v>45</v>
      </c>
      <c r="E50" s="17" t="s">
        <v>25</v>
      </c>
      <c r="F50" s="17" t="s">
        <v>25</v>
      </c>
      <c r="G50" s="18" t="s">
        <v>79</v>
      </c>
      <c r="H50" s="18" t="s">
        <v>73</v>
      </c>
      <c r="I50" s="18">
        <f>'MERCADO TUSD'!$U$47</f>
        <v>786.13800000000003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291.29375360425297</v>
      </c>
      <c r="AP50" s="20">
        <f ca="1">+'TUSD BE'!$T$50+'TUSD BE'!$AB$50+'TUSD BE'!$AD$50+'TUSD BE'!$AL$50</f>
        <v>291.29375360425297</v>
      </c>
    </row>
    <row r="51" spans="1:42" ht="11.25" customHeight="1" x14ac:dyDescent="0.25">
      <c r="A51" s="101"/>
      <c r="B51" s="101"/>
      <c r="C51" s="101"/>
      <c r="D51" s="18" t="s">
        <v>46</v>
      </c>
      <c r="E51" s="18" t="s">
        <v>25</v>
      </c>
      <c r="F51" s="18" t="s">
        <v>25</v>
      </c>
      <c r="G51" s="18" t="s">
        <v>79</v>
      </c>
      <c r="H51" s="18" t="s">
        <v>73</v>
      </c>
      <c r="I51" s="18">
        <f>'MERCADO TUSD'!$U$48</f>
        <v>25.399000000000001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317.77500393191235</v>
      </c>
      <c r="AP51" s="20">
        <f ca="1">+'TUSD BE'!$T$51+'TUSD BE'!$AB$51+'TUSD BE'!$AD$51+'TUSD BE'!$AL$51</f>
        <v>317.77500393191235</v>
      </c>
    </row>
    <row r="53" spans="1:42" ht="11.25" customHeight="1" x14ac:dyDescent="0.25">
      <c r="K53" s="16" t="s">
        <v>521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15966617.425212016</v>
      </c>
      <c r="AP53" s="18">
        <f ca="1">SUMPRODUCT($I$5:$I51,$AP$5:$AP51)</f>
        <v>15966617.425212016</v>
      </c>
    </row>
    <row r="54" spans="1:42" ht="11.25" customHeight="1" x14ac:dyDescent="0.25">
      <c r="K54" s="16" t="s">
        <v>453</v>
      </c>
      <c r="L54" s="13">
        <f>'TR TUSD'!$L$56</f>
        <v>0</v>
      </c>
      <c r="M54" s="13">
        <f>'TR TUSD'!$M$56</f>
        <v>37038.683252912764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2860082.5921099996</v>
      </c>
      <c r="R54" s="13">
        <f>'TR TUSD'!$R$56</f>
        <v>498272.18112000002</v>
      </c>
      <c r="S54" s="13">
        <f>'TR TUSD'!$S$56</f>
        <v>0</v>
      </c>
      <c r="T54" s="13">
        <f>'TR TUSD'!$T$56</f>
        <v>3395393.4564829124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4050663.7402049992</v>
      </c>
      <c r="Z54" s="13">
        <f>'TR TUSD'!$Z$56</f>
        <v>0</v>
      </c>
      <c r="AA54" s="13">
        <f>'TR TUSD'!$AA$56</f>
        <v>0</v>
      </c>
      <c r="AB54" s="13">
        <f>'TR TUSD'!$AB$56</f>
        <v>4050663.7402049992</v>
      </c>
      <c r="AC54" s="13">
        <f>'TR TUSD'!$AC$56</f>
        <v>8187106.6300000008</v>
      </c>
      <c r="AD54" s="13">
        <f>'TR TUSD'!$AD$56</f>
        <v>8187106.6300000008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326087.73679610278</v>
      </c>
      <c r="AI54" s="13">
        <f>'TR TUSD'!$AI$56</f>
        <v>7365.8617279972041</v>
      </c>
      <c r="AJ54" s="13">
        <f>'TR TUSD'!$AJ$56</f>
        <v>0</v>
      </c>
      <c r="AK54" s="13">
        <f>'TR TUSD'!$AK$56</f>
        <v>0</v>
      </c>
      <c r="AL54" s="13">
        <f>'TR TUSD'!$AL$56</f>
        <v>333453.59852409997</v>
      </c>
      <c r="AM54" s="13">
        <f>CUSTOS!$D$29</f>
        <v>15966617.425212013</v>
      </c>
      <c r="AO54" s="18">
        <f>$AE$56</f>
        <v>0</v>
      </c>
      <c r="AP54" s="18">
        <f>$AF$56</f>
        <v>0</v>
      </c>
    </row>
    <row r="55" spans="1:42" ht="11.25" customHeight="1" x14ac:dyDescent="0.25">
      <c r="K55" s="16" t="s">
        <v>454</v>
      </c>
      <c r="L55" s="13">
        <f>CUSTOS!$E$2</f>
        <v>0</v>
      </c>
      <c r="M55" s="13">
        <f>CUSTOS!$E$3</f>
        <v>1717.3787376874666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160108.37498343849</v>
      </c>
      <c r="R55" s="13">
        <f>CUSTOS!$E$8</f>
        <v>28107.862599384738</v>
      </c>
      <c r="S55" s="13">
        <f>CUSTOS!$E$9</f>
        <v>0</v>
      </c>
      <c r="T55" s="13">
        <f>CUSTOS!$E$10</f>
        <v>189933.61632051069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-422390.37368547905</v>
      </c>
      <c r="Z55" s="13">
        <f>CUSTOS!$E$16</f>
        <v>0</v>
      </c>
      <c r="AA55" s="13">
        <f>CUSTOS!$E$17</f>
        <v>0</v>
      </c>
      <c r="AB55" s="13">
        <f>CUSTOS!$E$18</f>
        <v>-422390.37368547905</v>
      </c>
      <c r="AC55" s="13">
        <f>CUSTOS!$E$19</f>
        <v>-2231516.880356343</v>
      </c>
      <c r="AD55" s="13">
        <f>CUSTOS!$E$20</f>
        <v>-2231516.880356343</v>
      </c>
      <c r="AE55" s="13">
        <f>CUSTOS!$E$21</f>
        <v>-170335.2244935311</v>
      </c>
      <c r="AF55" s="13">
        <f>CUSTOS!$E$22</f>
        <v>0</v>
      </c>
      <c r="AG55" s="13">
        <f>CUSTOS!$E$23</f>
        <v>-170335.2244935311</v>
      </c>
      <c r="AH55" s="13">
        <f>CUSTOS!$E$24</f>
        <v>-17092.86294593069</v>
      </c>
      <c r="AI55" s="13">
        <f>CUSTOS!$E$25</f>
        <v>-386.10364876756432</v>
      </c>
      <c r="AJ55" s="13">
        <f>CUSTOS!$E$26</f>
        <v>0</v>
      </c>
      <c r="AK55" s="13">
        <f>CUSTOS!$E$27</f>
        <v>0</v>
      </c>
      <c r="AL55" s="13">
        <f>CUSTOS!$E$28</f>
        <v>-17478.966594698253</v>
      </c>
      <c r="AM55" s="13">
        <f>CUSTOS!$E$29</f>
        <v>-2651787.8288095407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455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518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76" priority="55" operator="notEqual">
      <formula>$L$56</formula>
    </cfRule>
    <cfRule type="cellIs" dxfId="875" priority="56" operator="equal">
      <formula>$L$56</formula>
    </cfRule>
  </conditionalFormatting>
  <conditionalFormatting sqref="M53">
    <cfRule type="cellIs" dxfId="874" priority="53" operator="notEqual">
      <formula>$M$56</formula>
    </cfRule>
    <cfRule type="cellIs" dxfId="873" priority="54" operator="equal">
      <formula>$M$56</formula>
    </cfRule>
  </conditionalFormatting>
  <conditionalFormatting sqref="N53">
    <cfRule type="cellIs" dxfId="872" priority="51" operator="notEqual">
      <formula>$N$56</formula>
    </cfRule>
    <cfRule type="cellIs" dxfId="871" priority="52" operator="equal">
      <formula>$N$56</formula>
    </cfRule>
  </conditionalFormatting>
  <conditionalFormatting sqref="O53">
    <cfRule type="cellIs" dxfId="870" priority="49" operator="notEqual">
      <formula>$O$56</formula>
    </cfRule>
    <cfRule type="cellIs" dxfId="869" priority="50" operator="equal">
      <formula>$O$56</formula>
    </cfRule>
  </conditionalFormatting>
  <conditionalFormatting sqref="P53">
    <cfRule type="cellIs" dxfId="868" priority="47" operator="notEqual">
      <formula>$P$56</formula>
    </cfRule>
    <cfRule type="cellIs" dxfId="867" priority="48" operator="equal">
      <formula>$P$56</formula>
    </cfRule>
  </conditionalFormatting>
  <conditionalFormatting sqref="Q53">
    <cfRule type="cellIs" dxfId="866" priority="45" operator="notEqual">
      <formula>$Q$56</formula>
    </cfRule>
    <cfRule type="cellIs" dxfId="865" priority="46" operator="equal">
      <formula>$Q$56</formula>
    </cfRule>
  </conditionalFormatting>
  <conditionalFormatting sqref="R53">
    <cfRule type="cellIs" dxfId="864" priority="43" operator="notEqual">
      <formula>$R$56</formula>
    </cfRule>
    <cfRule type="cellIs" dxfId="863" priority="44" operator="equal">
      <formula>$R$56</formula>
    </cfRule>
  </conditionalFormatting>
  <conditionalFormatting sqref="S53">
    <cfRule type="cellIs" dxfId="862" priority="41" operator="notEqual">
      <formula>$S$56</formula>
    </cfRule>
    <cfRule type="cellIs" dxfId="861" priority="42" operator="equal">
      <formula>$S$56</formula>
    </cfRule>
  </conditionalFormatting>
  <conditionalFormatting sqref="T53">
    <cfRule type="cellIs" dxfId="860" priority="39" operator="notEqual">
      <formula>$T$56</formula>
    </cfRule>
    <cfRule type="cellIs" dxfId="859" priority="40" operator="equal">
      <formula>$T$56</formula>
    </cfRule>
  </conditionalFormatting>
  <conditionalFormatting sqref="U53">
    <cfRule type="cellIs" dxfId="858" priority="37" operator="notEqual">
      <formula>$U$56</formula>
    </cfRule>
    <cfRule type="cellIs" dxfId="857" priority="38" operator="equal">
      <formula>$U$56</formula>
    </cfRule>
  </conditionalFormatting>
  <conditionalFormatting sqref="V53">
    <cfRule type="cellIs" dxfId="856" priority="35" operator="notEqual">
      <formula>$V$56</formula>
    </cfRule>
    <cfRule type="cellIs" dxfId="855" priority="36" operator="equal">
      <formula>$V$56</formula>
    </cfRule>
  </conditionalFormatting>
  <conditionalFormatting sqref="W53">
    <cfRule type="cellIs" dxfId="854" priority="33" operator="notEqual">
      <formula>$W$56</formula>
    </cfRule>
    <cfRule type="cellIs" dxfId="853" priority="34" operator="equal">
      <formula>$W$56</formula>
    </cfRule>
  </conditionalFormatting>
  <conditionalFormatting sqref="X53">
    <cfRule type="cellIs" dxfId="852" priority="31" operator="notEqual">
      <formula>$X$56</formula>
    </cfRule>
    <cfRule type="cellIs" dxfId="851" priority="32" operator="equal">
      <formula>$X$56</formula>
    </cfRule>
  </conditionalFormatting>
  <conditionalFormatting sqref="Y53">
    <cfRule type="cellIs" dxfId="850" priority="29" operator="notEqual">
      <formula>$Y$56</formula>
    </cfRule>
    <cfRule type="cellIs" dxfId="849" priority="30" operator="equal">
      <formula>$Y$56</formula>
    </cfRule>
  </conditionalFormatting>
  <conditionalFormatting sqref="Z53">
    <cfRule type="cellIs" dxfId="848" priority="27" operator="notEqual">
      <formula>$Z$56</formula>
    </cfRule>
    <cfRule type="cellIs" dxfId="847" priority="28" operator="equal">
      <formula>$Z$56</formula>
    </cfRule>
  </conditionalFormatting>
  <conditionalFormatting sqref="AA53">
    <cfRule type="cellIs" dxfId="846" priority="25" operator="notEqual">
      <formula>$AA$56</formula>
    </cfRule>
    <cfRule type="cellIs" dxfId="845" priority="26" operator="equal">
      <formula>$AA$56</formula>
    </cfRule>
  </conditionalFormatting>
  <conditionalFormatting sqref="AB53">
    <cfRule type="cellIs" dxfId="844" priority="23" operator="notEqual">
      <formula>$AB$56</formula>
    </cfRule>
    <cfRule type="cellIs" dxfId="843" priority="24" operator="equal">
      <formula>$AB$56</formula>
    </cfRule>
  </conditionalFormatting>
  <conditionalFormatting sqref="AC53">
    <cfRule type="cellIs" dxfId="842" priority="21" operator="notEqual">
      <formula>$AC$56</formula>
    </cfRule>
    <cfRule type="cellIs" dxfId="841" priority="22" operator="equal">
      <formula>$AC$56</formula>
    </cfRule>
  </conditionalFormatting>
  <conditionalFormatting sqref="AD53">
    <cfRule type="cellIs" dxfId="840" priority="19" operator="notEqual">
      <formula>$AD$56</formula>
    </cfRule>
    <cfRule type="cellIs" dxfId="839" priority="20" operator="equal">
      <formula>$AD$56</formula>
    </cfRule>
  </conditionalFormatting>
  <conditionalFormatting sqref="AE53">
    <cfRule type="cellIs" dxfId="838" priority="17" operator="notEqual">
      <formula>$AE$56</formula>
    </cfRule>
    <cfRule type="cellIs" dxfId="837" priority="18" operator="equal">
      <formula>$AE$56</formula>
    </cfRule>
  </conditionalFormatting>
  <conditionalFormatting sqref="AF53">
    <cfRule type="cellIs" dxfId="836" priority="16" operator="equal">
      <formula>$AF$56</formula>
    </cfRule>
  </conditionalFormatting>
  <conditionalFormatting sqref="AF53">
    <cfRule type="cellIs" dxfId="835" priority="15" operator="notEqual">
      <formula>$AF$56</formula>
    </cfRule>
  </conditionalFormatting>
  <conditionalFormatting sqref="AG53">
    <cfRule type="cellIs" dxfId="834" priority="14" operator="equal">
      <formula>$AG$56</formula>
    </cfRule>
  </conditionalFormatting>
  <conditionalFormatting sqref="AG53">
    <cfRule type="cellIs" dxfId="833" priority="13" operator="notEqual">
      <formula>$AG$56</formula>
    </cfRule>
  </conditionalFormatting>
  <conditionalFormatting sqref="AH53">
    <cfRule type="cellIs" dxfId="832" priority="12" operator="equal">
      <formula>$AH$56</formula>
    </cfRule>
  </conditionalFormatting>
  <conditionalFormatting sqref="AH53">
    <cfRule type="cellIs" dxfId="831" priority="11" operator="notEqual">
      <formula>$AH$56</formula>
    </cfRule>
  </conditionalFormatting>
  <conditionalFormatting sqref="AI53">
    <cfRule type="cellIs" dxfId="830" priority="10" operator="equal">
      <formula>$AI$56</formula>
    </cfRule>
  </conditionalFormatting>
  <conditionalFormatting sqref="AI53">
    <cfRule type="cellIs" dxfId="829" priority="9" operator="notEqual">
      <formula>$AI$56</formula>
    </cfRule>
  </conditionalFormatting>
  <conditionalFormatting sqref="AJ53">
    <cfRule type="cellIs" dxfId="828" priority="8" operator="equal">
      <formula>$AJ$56</formula>
    </cfRule>
  </conditionalFormatting>
  <conditionalFormatting sqref="AJ53">
    <cfRule type="cellIs" dxfId="827" priority="7" operator="notEqual">
      <formula>$AJ$56</formula>
    </cfRule>
  </conditionalFormatting>
  <conditionalFormatting sqref="AK53">
    <cfRule type="cellIs" dxfId="826" priority="6" operator="equal">
      <formula>$AK$56</formula>
    </cfRule>
  </conditionalFormatting>
  <conditionalFormatting sqref="AK53">
    <cfRule type="cellIs" dxfId="825" priority="5" operator="notEqual">
      <formula>$AK$56</formula>
    </cfRule>
  </conditionalFormatting>
  <conditionalFormatting sqref="AL53">
    <cfRule type="cellIs" dxfId="824" priority="4" operator="equal">
      <formula>$AL$56</formula>
    </cfRule>
  </conditionalFormatting>
  <conditionalFormatting sqref="AL53">
    <cfRule type="cellIs" dxfId="823" priority="3" operator="notEqual">
      <formula>$AL$56</formula>
    </cfRule>
  </conditionalFormatting>
  <conditionalFormatting sqref="AM53">
    <cfRule type="cellIs" dxfId="822" priority="2" operator="equal">
      <formula>$AM$56</formula>
    </cfRule>
  </conditionalFormatting>
  <conditionalFormatting sqref="AM53">
    <cfRule type="cellIs" dxfId="82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67A2-DEB9-4A5C-A10D-6342A067F7F0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8.7109375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1" t="s">
        <v>63</v>
      </c>
      <c r="B1" s="111" t="s">
        <v>64</v>
      </c>
      <c r="C1" s="111" t="s">
        <v>65</v>
      </c>
      <c r="D1" s="111" t="s">
        <v>66</v>
      </c>
      <c r="E1" s="111" t="s">
        <v>67</v>
      </c>
      <c r="F1" s="111" t="s">
        <v>15</v>
      </c>
      <c r="G1" s="111" t="s">
        <v>69</v>
      </c>
      <c r="H1" s="111" t="s">
        <v>70</v>
      </c>
      <c r="I1" s="111" t="s">
        <v>512</v>
      </c>
      <c r="J1" s="95"/>
      <c r="L1" s="109" t="s">
        <v>533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</row>
    <row r="2" spans="1:28" ht="11.25" customHeigh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95"/>
      <c r="L2" s="109" t="s">
        <v>439</v>
      </c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</row>
    <row r="3" spans="1:28" ht="11.25" customHeight="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95"/>
      <c r="L3" s="109" t="s">
        <v>412</v>
      </c>
      <c r="M3" s="109"/>
      <c r="N3" s="109"/>
      <c r="O3" s="109"/>
      <c r="P3" s="109"/>
      <c r="Q3" s="109"/>
      <c r="R3" s="109" t="s">
        <v>443</v>
      </c>
      <c r="S3" s="109"/>
      <c r="T3" s="109" t="s">
        <v>421</v>
      </c>
      <c r="U3" s="109"/>
      <c r="V3" s="109"/>
      <c r="W3" s="109"/>
      <c r="X3" s="109" t="s">
        <v>431</v>
      </c>
      <c r="Y3" s="109"/>
      <c r="Z3" s="109" t="s">
        <v>434</v>
      </c>
      <c r="AA3" s="109"/>
      <c r="AB3" s="109" t="s">
        <v>420</v>
      </c>
    </row>
    <row r="4" spans="1:28" ht="11.25" customHeight="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95"/>
      <c r="L4" s="24" t="s">
        <v>414</v>
      </c>
      <c r="M4" s="24" t="s">
        <v>440</v>
      </c>
      <c r="N4" s="24" t="s">
        <v>441</v>
      </c>
      <c r="O4" s="24" t="s">
        <v>500</v>
      </c>
      <c r="P4" s="24" t="s">
        <v>442</v>
      </c>
      <c r="Q4" s="24" t="s">
        <v>420</v>
      </c>
      <c r="R4" s="24" t="s">
        <v>444</v>
      </c>
      <c r="S4" s="24" t="s">
        <v>420</v>
      </c>
      <c r="T4" s="24" t="s">
        <v>445</v>
      </c>
      <c r="U4" s="24" t="s">
        <v>446</v>
      </c>
      <c r="V4" s="24" t="s">
        <v>447</v>
      </c>
      <c r="W4" s="24" t="s">
        <v>420</v>
      </c>
      <c r="X4" s="24" t="s">
        <v>432</v>
      </c>
      <c r="Y4" s="24" t="s">
        <v>420</v>
      </c>
      <c r="Z4" s="24" t="s">
        <v>448</v>
      </c>
      <c r="AA4" s="24" t="s">
        <v>420</v>
      </c>
      <c r="AB4" s="110"/>
    </row>
    <row r="5" spans="1:28" ht="11.25" customHeight="1" x14ac:dyDescent="0.25">
      <c r="A5" s="112" t="s">
        <v>35</v>
      </c>
      <c r="B5" s="112" t="s">
        <v>72</v>
      </c>
      <c r="C5" s="112" t="s">
        <v>25</v>
      </c>
      <c r="D5" s="112" t="s">
        <v>25</v>
      </c>
      <c r="E5" s="112" t="s">
        <v>25</v>
      </c>
      <c r="F5" s="112" t="s">
        <v>25</v>
      </c>
      <c r="G5" s="23" t="s">
        <v>74</v>
      </c>
      <c r="H5" s="23" t="s">
        <v>73</v>
      </c>
      <c r="I5" s="23">
        <f>'MERCADO TE'!$U$2</f>
        <v>397.35799999999995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12"/>
      <c r="B6" s="112"/>
      <c r="C6" s="112"/>
      <c r="D6" s="112"/>
      <c r="E6" s="112"/>
      <c r="F6" s="112"/>
      <c r="G6" s="23" t="s">
        <v>75</v>
      </c>
      <c r="H6" s="23" t="s">
        <v>73</v>
      </c>
      <c r="I6" s="23">
        <f>'MERCADO TE'!$U$3</f>
        <v>15580.922999999999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12" t="s">
        <v>22</v>
      </c>
      <c r="B7" s="112" t="s">
        <v>72</v>
      </c>
      <c r="C7" s="112" t="s">
        <v>24</v>
      </c>
      <c r="D7" s="112" t="s">
        <v>24</v>
      </c>
      <c r="E7" s="112" t="s">
        <v>25</v>
      </c>
      <c r="F7" s="112" t="s">
        <v>25</v>
      </c>
      <c r="G7" s="23" t="s">
        <v>74</v>
      </c>
      <c r="H7" s="23" t="s">
        <v>73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12"/>
      <c r="B8" s="112"/>
      <c r="C8" s="112"/>
      <c r="D8" s="112"/>
      <c r="E8" s="112"/>
      <c r="F8" s="112"/>
      <c r="G8" s="23" t="s">
        <v>85</v>
      </c>
      <c r="H8" s="23" t="s">
        <v>73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12"/>
      <c r="B9" s="112"/>
      <c r="C9" s="112"/>
      <c r="D9" s="112"/>
      <c r="E9" s="112"/>
      <c r="F9" s="112"/>
      <c r="G9" s="23" t="s">
        <v>75</v>
      </c>
      <c r="H9" s="23" t="s">
        <v>73</v>
      </c>
      <c r="I9" s="23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112"/>
      <c r="B10" s="112" t="s">
        <v>86</v>
      </c>
      <c r="C10" s="112" t="s">
        <v>24</v>
      </c>
      <c r="D10" s="22" t="s">
        <v>24</v>
      </c>
      <c r="E10" s="22" t="s">
        <v>25</v>
      </c>
      <c r="F10" s="22" t="s">
        <v>25</v>
      </c>
      <c r="G10" s="23" t="s">
        <v>79</v>
      </c>
      <c r="H10" s="23" t="s">
        <v>73</v>
      </c>
      <c r="I10" s="23">
        <f>'MERCADO TE'!$U$7</f>
        <v>6839.3490000000002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12"/>
      <c r="B11" s="112"/>
      <c r="C11" s="112"/>
      <c r="D11" s="22" t="s">
        <v>29</v>
      </c>
      <c r="E11" s="22" t="s">
        <v>25</v>
      </c>
      <c r="F11" s="22" t="s">
        <v>25</v>
      </c>
      <c r="G11" s="23" t="s">
        <v>79</v>
      </c>
      <c r="H11" s="23" t="s">
        <v>73</v>
      </c>
      <c r="I11" s="23">
        <f>'MERCADO TE'!$U$8</f>
        <v>69.570000000000007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25">
      <c r="A12" s="112"/>
      <c r="B12" s="112"/>
      <c r="C12" s="112"/>
      <c r="D12" s="22" t="s">
        <v>30</v>
      </c>
      <c r="E12" s="22" t="s">
        <v>25</v>
      </c>
      <c r="F12" s="22" t="s">
        <v>25</v>
      </c>
      <c r="G12" s="23" t="s">
        <v>79</v>
      </c>
      <c r="H12" s="23" t="s">
        <v>73</v>
      </c>
      <c r="I12" s="23">
        <f>'MERCADO TE'!$U$9</f>
        <v>149.51999999999998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25">
      <c r="A13" s="112"/>
      <c r="B13" s="112"/>
      <c r="C13" s="112"/>
      <c r="D13" s="22" t="s">
        <v>31</v>
      </c>
      <c r="E13" s="22" t="s">
        <v>25</v>
      </c>
      <c r="F13" s="22" t="s">
        <v>25</v>
      </c>
      <c r="G13" s="23" t="s">
        <v>79</v>
      </c>
      <c r="H13" s="23" t="s">
        <v>73</v>
      </c>
      <c r="I13" s="23">
        <f>'MERCADO TE'!$U$10</f>
        <v>134.06700000000001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25">
      <c r="A14" s="112"/>
      <c r="B14" s="112"/>
      <c r="C14" s="112"/>
      <c r="D14" s="22" t="s">
        <v>32</v>
      </c>
      <c r="E14" s="22" t="s">
        <v>25</v>
      </c>
      <c r="F14" s="22" t="s">
        <v>25</v>
      </c>
      <c r="G14" s="23" t="s">
        <v>79</v>
      </c>
      <c r="H14" s="23" t="s">
        <v>73</v>
      </c>
      <c r="I14" s="23">
        <f>'MERCADO TE'!$U$11</f>
        <v>36.650999999999996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25">
      <c r="A15" s="112"/>
      <c r="B15" s="112" t="s">
        <v>88</v>
      </c>
      <c r="C15" s="112" t="s">
        <v>24</v>
      </c>
      <c r="D15" s="22" t="s">
        <v>24</v>
      </c>
      <c r="E15" s="22" t="s">
        <v>25</v>
      </c>
      <c r="F15" s="22" t="s">
        <v>25</v>
      </c>
      <c r="G15" s="23" t="s">
        <v>79</v>
      </c>
      <c r="H15" s="23" t="s">
        <v>73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25">
      <c r="A16" s="112"/>
      <c r="B16" s="112"/>
      <c r="C16" s="112"/>
      <c r="D16" s="22" t="s">
        <v>29</v>
      </c>
      <c r="E16" s="22" t="s">
        <v>25</v>
      </c>
      <c r="F16" s="22" t="s">
        <v>25</v>
      </c>
      <c r="G16" s="23" t="s">
        <v>79</v>
      </c>
      <c r="H16" s="23" t="s">
        <v>73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25">
      <c r="A17" s="112"/>
      <c r="B17" s="112"/>
      <c r="C17" s="112"/>
      <c r="D17" s="22" t="s">
        <v>30</v>
      </c>
      <c r="E17" s="22" t="s">
        <v>25</v>
      </c>
      <c r="F17" s="22" t="s">
        <v>25</v>
      </c>
      <c r="G17" s="23" t="s">
        <v>79</v>
      </c>
      <c r="H17" s="23" t="s">
        <v>73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25">
      <c r="A18" s="112"/>
      <c r="B18" s="112"/>
      <c r="C18" s="112"/>
      <c r="D18" s="22" t="s">
        <v>31</v>
      </c>
      <c r="E18" s="22" t="s">
        <v>25</v>
      </c>
      <c r="F18" s="22" t="s">
        <v>25</v>
      </c>
      <c r="G18" s="23" t="s">
        <v>79</v>
      </c>
      <c r="H18" s="23" t="s">
        <v>73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25">
      <c r="A19" s="112"/>
      <c r="B19" s="112"/>
      <c r="C19" s="112"/>
      <c r="D19" s="22" t="s">
        <v>32</v>
      </c>
      <c r="E19" s="22" t="s">
        <v>25</v>
      </c>
      <c r="F19" s="22" t="s">
        <v>25</v>
      </c>
      <c r="G19" s="23" t="s">
        <v>79</v>
      </c>
      <c r="H19" s="23" t="s">
        <v>73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25">
      <c r="A20" s="112" t="s">
        <v>40</v>
      </c>
      <c r="B20" s="112" t="s">
        <v>72</v>
      </c>
      <c r="C20" s="112" t="s">
        <v>41</v>
      </c>
      <c r="D20" s="112" t="s">
        <v>25</v>
      </c>
      <c r="E20" s="112" t="s">
        <v>25</v>
      </c>
      <c r="F20" s="112" t="s">
        <v>25</v>
      </c>
      <c r="G20" s="23" t="s">
        <v>74</v>
      </c>
      <c r="H20" s="23" t="s">
        <v>73</v>
      </c>
      <c r="I20" s="23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25">
      <c r="A21" s="112"/>
      <c r="B21" s="112"/>
      <c r="C21" s="112"/>
      <c r="D21" s="112"/>
      <c r="E21" s="112"/>
      <c r="F21" s="112"/>
      <c r="G21" s="23" t="s">
        <v>85</v>
      </c>
      <c r="H21" s="23" t="s">
        <v>73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112"/>
      <c r="B22" s="112"/>
      <c r="C22" s="112"/>
      <c r="D22" s="112"/>
      <c r="E22" s="112"/>
      <c r="F22" s="112"/>
      <c r="G22" s="23" t="s">
        <v>75</v>
      </c>
      <c r="H22" s="23" t="s">
        <v>73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112"/>
      <c r="B23" s="22" t="s">
        <v>86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79</v>
      </c>
      <c r="H23" s="23" t="s">
        <v>73</v>
      </c>
      <c r="I23" s="23">
        <f>'MERCADO TE'!$U$20</f>
        <v>5066.7939999999999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12"/>
      <c r="B24" s="112" t="s">
        <v>72</v>
      </c>
      <c r="C24" s="112" t="s">
        <v>41</v>
      </c>
      <c r="D24" s="112" t="s">
        <v>90</v>
      </c>
      <c r="E24" s="112" t="s">
        <v>25</v>
      </c>
      <c r="F24" s="112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25">
      <c r="A25" s="112"/>
      <c r="B25" s="112"/>
      <c r="C25" s="112"/>
      <c r="D25" s="112"/>
      <c r="E25" s="112"/>
      <c r="F25" s="112"/>
      <c r="G25" s="23" t="s">
        <v>85</v>
      </c>
      <c r="H25" s="23" t="s">
        <v>73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112"/>
      <c r="B26" s="112"/>
      <c r="C26" s="112"/>
      <c r="D26" s="112"/>
      <c r="E26" s="112"/>
      <c r="F26" s="112"/>
      <c r="G26" s="23" t="s">
        <v>75</v>
      </c>
      <c r="H26" s="23" t="s">
        <v>73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112"/>
      <c r="B27" s="22" t="s">
        <v>86</v>
      </c>
      <c r="C27" s="22" t="s">
        <v>41</v>
      </c>
      <c r="D27" s="22" t="s">
        <v>90</v>
      </c>
      <c r="E27" s="22" t="s">
        <v>25</v>
      </c>
      <c r="F27" s="22" t="s">
        <v>25</v>
      </c>
      <c r="G27" s="23" t="s">
        <v>79</v>
      </c>
      <c r="H27" s="23" t="s">
        <v>73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12"/>
      <c r="B28" s="112" t="s">
        <v>72</v>
      </c>
      <c r="C28" s="112" t="s">
        <v>41</v>
      </c>
      <c r="D28" s="112" t="s">
        <v>91</v>
      </c>
      <c r="E28" s="112" t="s">
        <v>25</v>
      </c>
      <c r="F28" s="112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25">
      <c r="A29" s="112"/>
      <c r="B29" s="112"/>
      <c r="C29" s="112"/>
      <c r="D29" s="112"/>
      <c r="E29" s="112"/>
      <c r="F29" s="112"/>
      <c r="G29" s="23" t="s">
        <v>85</v>
      </c>
      <c r="H29" s="23" t="s">
        <v>73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112"/>
      <c r="B30" s="112"/>
      <c r="C30" s="112"/>
      <c r="D30" s="112"/>
      <c r="E30" s="112"/>
      <c r="F30" s="112"/>
      <c r="G30" s="23" t="s">
        <v>75</v>
      </c>
      <c r="H30" s="23" t="s">
        <v>73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112"/>
      <c r="B31" s="22" t="s">
        <v>86</v>
      </c>
      <c r="C31" s="22" t="s">
        <v>41</v>
      </c>
      <c r="D31" s="22" t="s">
        <v>91</v>
      </c>
      <c r="E31" s="22" t="s">
        <v>25</v>
      </c>
      <c r="F31" s="22" t="s">
        <v>25</v>
      </c>
      <c r="G31" s="23" t="s">
        <v>79</v>
      </c>
      <c r="H31" s="23" t="s">
        <v>73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12"/>
      <c r="B32" s="112" t="s">
        <v>88</v>
      </c>
      <c r="C32" s="112" t="s">
        <v>41</v>
      </c>
      <c r="D32" s="22" t="s">
        <v>25</v>
      </c>
      <c r="E32" s="22" t="s">
        <v>25</v>
      </c>
      <c r="F32" s="22" t="s">
        <v>25</v>
      </c>
      <c r="G32" s="23" t="s">
        <v>79</v>
      </c>
      <c r="H32" s="23" t="s">
        <v>73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25">
      <c r="A33" s="112"/>
      <c r="B33" s="112"/>
      <c r="C33" s="112"/>
      <c r="D33" s="22" t="s">
        <v>90</v>
      </c>
      <c r="E33" s="22" t="s">
        <v>25</v>
      </c>
      <c r="F33" s="22" t="s">
        <v>25</v>
      </c>
      <c r="G33" s="23" t="s">
        <v>79</v>
      </c>
      <c r="H33" s="23" t="s">
        <v>73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25">
      <c r="A34" s="112"/>
      <c r="B34" s="112"/>
      <c r="C34" s="112"/>
      <c r="D34" s="22" t="s">
        <v>91</v>
      </c>
      <c r="E34" s="22" t="s">
        <v>25</v>
      </c>
      <c r="F34" s="22" t="s">
        <v>25</v>
      </c>
      <c r="G34" s="23" t="s">
        <v>79</v>
      </c>
      <c r="H34" s="23" t="s">
        <v>73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112" t="s">
        <v>33</v>
      </c>
      <c r="B35" s="112" t="s">
        <v>72</v>
      </c>
      <c r="C35" s="112" t="s">
        <v>25</v>
      </c>
      <c r="D35" s="112" t="s">
        <v>25</v>
      </c>
      <c r="E35" s="112" t="s">
        <v>25</v>
      </c>
      <c r="F35" s="112" t="s">
        <v>25</v>
      </c>
      <c r="G35" s="23" t="s">
        <v>74</v>
      </c>
      <c r="H35" s="23" t="s">
        <v>73</v>
      </c>
      <c r="I35" s="23">
        <f>'MERCADO TE'!$U$32</f>
        <v>0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25">
      <c r="A36" s="112"/>
      <c r="B36" s="112"/>
      <c r="C36" s="112"/>
      <c r="D36" s="112"/>
      <c r="E36" s="112"/>
      <c r="F36" s="112"/>
      <c r="G36" s="23" t="s">
        <v>85</v>
      </c>
      <c r="H36" s="23" t="s">
        <v>73</v>
      </c>
      <c r="I36" s="23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112"/>
      <c r="B37" s="112"/>
      <c r="C37" s="112"/>
      <c r="D37" s="112"/>
      <c r="E37" s="112"/>
      <c r="F37" s="112"/>
      <c r="G37" s="23" t="s">
        <v>75</v>
      </c>
      <c r="H37" s="23" t="s">
        <v>73</v>
      </c>
      <c r="I37" s="23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112"/>
      <c r="B38" s="22" t="s">
        <v>86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79</v>
      </c>
      <c r="H38" s="23" t="s">
        <v>73</v>
      </c>
      <c r="I38" s="23">
        <f>'MERCADO TE'!$U$35</f>
        <v>2202.5430000000001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12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79</v>
      </c>
      <c r="H39" s="23" t="s">
        <v>73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12" t="s">
        <v>43</v>
      </c>
      <c r="B40" s="112" t="s">
        <v>86</v>
      </c>
      <c r="C40" s="112" t="s">
        <v>44</v>
      </c>
      <c r="D40" s="22" t="s">
        <v>45</v>
      </c>
      <c r="E40" s="22" t="s">
        <v>25</v>
      </c>
      <c r="F40" s="22" t="s">
        <v>25</v>
      </c>
      <c r="G40" s="23" t="s">
        <v>79</v>
      </c>
      <c r="H40" s="23" t="s">
        <v>73</v>
      </c>
      <c r="I40" s="23">
        <f>'MERCADO TE'!$U$37</f>
        <v>786.13800000000003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25">
      <c r="A41" s="112"/>
      <c r="B41" s="112"/>
      <c r="C41" s="112"/>
      <c r="D41" s="23" t="s">
        <v>46</v>
      </c>
      <c r="E41" s="23" t="s">
        <v>25</v>
      </c>
      <c r="F41" s="23" t="s">
        <v>25</v>
      </c>
      <c r="G41" s="23" t="s">
        <v>79</v>
      </c>
      <c r="H41" s="23" t="s">
        <v>73</v>
      </c>
      <c r="I41" s="23">
        <f>'MERCADO TE'!$U$38</f>
        <v>25.399000000000001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25">
      <c r="K43" s="25" t="s">
        <v>534</v>
      </c>
      <c r="L43" s="20">
        <f t="shared" ref="L43:AB43" si="0">SUMPRODUCT($I$5:$I$41,L$5:L$41)</f>
        <v>30924.390299999995</v>
      </c>
      <c r="M43" s="20">
        <f t="shared" si="0"/>
        <v>30924.390299999995</v>
      </c>
      <c r="N43" s="20">
        <f t="shared" si="0"/>
        <v>30924.390299999995</v>
      </c>
      <c r="O43" s="20">
        <f t="shared" si="0"/>
        <v>30924.390299999995</v>
      </c>
      <c r="P43" s="20">
        <f t="shared" si="0"/>
        <v>30924.390299999995</v>
      </c>
      <c r="Q43" s="20">
        <f t="shared" si="0"/>
        <v>0</v>
      </c>
      <c r="R43" s="20">
        <f t="shared" si="0"/>
        <v>30924.390299999995</v>
      </c>
      <c r="S43" s="20">
        <f t="shared" si="0"/>
        <v>0</v>
      </c>
      <c r="T43" s="20">
        <f t="shared" si="0"/>
        <v>30924.390299999995</v>
      </c>
      <c r="U43" s="20">
        <f t="shared" si="0"/>
        <v>30924.390299999995</v>
      </c>
      <c r="V43" s="20">
        <f t="shared" si="0"/>
        <v>30924.390299999995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30924.390299999995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453</v>
      </c>
      <c r="L44" s="20">
        <f>CUSTOS!$D$30</f>
        <v>0</v>
      </c>
      <c r="M44" s="20">
        <f>CUSTOS!$D$31</f>
        <v>755462.82000000007</v>
      </c>
      <c r="N44" s="20">
        <f>CUSTOS!$D$32</f>
        <v>0</v>
      </c>
      <c r="O44" s="20">
        <f>CUSTOS!$D$33</f>
        <v>0</v>
      </c>
      <c r="P44" s="20">
        <f>CUSTOS!$D$34</f>
        <v>-585451.85</v>
      </c>
      <c r="Q44" s="20">
        <f>CUSTOS!$D$35</f>
        <v>170010.97000000009</v>
      </c>
      <c r="R44" s="20">
        <f>CUSTOS!$D$36</f>
        <v>5800148.5248689074</v>
      </c>
      <c r="S44" s="20">
        <f>CUSTOS!$D$37</f>
        <v>5800148.5248689074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131017.16874052629</v>
      </c>
      <c r="AA44" s="20">
        <f>CUSTOS!$D$45</f>
        <v>131017.16874052629</v>
      </c>
      <c r="AB44" s="20">
        <f>CUSTOS!$D$46</f>
        <v>6101176.663609433</v>
      </c>
    </row>
    <row r="45" spans="1:28" ht="11.25" customHeight="1" x14ac:dyDescent="0.25">
      <c r="K45" s="25" t="s">
        <v>454</v>
      </c>
      <c r="L45" s="20">
        <f>CUSTOS!$E$30</f>
        <v>0</v>
      </c>
      <c r="M45" s="20">
        <f>CUSTOS!$E$31</f>
        <v>8837.6698649977188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8837.6698649977188</v>
      </c>
      <c r="R45" s="20">
        <f>CUSTOS!$E$36</f>
        <v>-304032.1134910314</v>
      </c>
      <c r="S45" s="20">
        <f>CUSTOS!$E$37</f>
        <v>-304032.1134910314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-65088.632676172878</v>
      </c>
      <c r="Y45" s="20">
        <f>CUSTOS!$E$43</f>
        <v>-65088.632676172878</v>
      </c>
      <c r="Z45" s="20">
        <f>CUSTOS!$E$44</f>
        <v>-6867.6563272478616</v>
      </c>
      <c r="AA45" s="20">
        <f>CUSTOS!$E$45</f>
        <v>-6867.6563272478616</v>
      </c>
      <c r="AB45" s="20">
        <f>CUSTOS!$E$46</f>
        <v>-367150.7326294544</v>
      </c>
    </row>
    <row r="46" spans="1:28" ht="11.25" customHeight="1" x14ac:dyDescent="0.25">
      <c r="K46" s="25" t="s">
        <v>455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535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24.42935212856889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-18.931718437145715</v>
      </c>
      <c r="Q47" s="20"/>
      <c r="R47" s="20">
        <f>IF((CUSTOS!$M$12-CUSTOS!$M$13)&lt;&gt;0,(CUSTOS!$M$12*CUSTOS!$M$14)/(CUSTOS!$M$12-CUSTOS!$M$13),0)</f>
        <v>188.82676554830979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4.2366936734893788</v>
      </c>
      <c r="AA47" s="20"/>
      <c r="AB47" s="20"/>
    </row>
    <row r="48" spans="1:28" ht="11.25" customHeight="1" x14ac:dyDescent="0.25">
      <c r="K48" s="25" t="s">
        <v>536</v>
      </c>
      <c r="L48" s="20">
        <f>IF(L43&lt;&gt;0,(L44-L47*0)/(L43-0),0)</f>
        <v>0</v>
      </c>
      <c r="M48" s="20">
        <f>IF(M43&lt;&gt;0,(M44-M47*0)/(M43-0),0)</f>
        <v>24.42935212856889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-18.931718437145715</v>
      </c>
      <c r="Q48" s="20"/>
      <c r="R48" s="20">
        <f>IF(R43&lt;&gt;0,(R44-R47*0)/(R43-0),0)</f>
        <v>187.55902601801364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4.2366936734893788</v>
      </c>
      <c r="AA48" s="20"/>
      <c r="AB48" s="20"/>
    </row>
    <row r="49" spans="11:28" ht="11.25" customHeight="1" x14ac:dyDescent="0.25">
      <c r="K49" s="25" t="s">
        <v>537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F1EF-47C2-4811-9BA9-FD2FC3F163D1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8.7109375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1" t="s">
        <v>63</v>
      </c>
      <c r="B1" s="111" t="s">
        <v>64</v>
      </c>
      <c r="C1" s="111" t="s">
        <v>65</v>
      </c>
      <c r="D1" s="111" t="s">
        <v>66</v>
      </c>
      <c r="E1" s="111" t="s">
        <v>67</v>
      </c>
      <c r="F1" s="111" t="s">
        <v>15</v>
      </c>
      <c r="G1" s="111" t="s">
        <v>69</v>
      </c>
      <c r="H1" s="111" t="s">
        <v>70</v>
      </c>
      <c r="I1" s="111" t="s">
        <v>512</v>
      </c>
      <c r="J1" s="95"/>
      <c r="L1" s="109" t="s">
        <v>538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</row>
    <row r="2" spans="1:28" ht="11.25" customHeigh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95"/>
      <c r="L2" s="109" t="s">
        <v>439</v>
      </c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</row>
    <row r="3" spans="1:28" ht="11.25" customHeight="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95"/>
      <c r="L3" s="109" t="s">
        <v>412</v>
      </c>
      <c r="M3" s="109"/>
      <c r="N3" s="109"/>
      <c r="O3" s="109"/>
      <c r="P3" s="109"/>
      <c r="Q3" s="109"/>
      <c r="R3" s="109" t="s">
        <v>443</v>
      </c>
      <c r="S3" s="109"/>
      <c r="T3" s="109" t="s">
        <v>421</v>
      </c>
      <c r="U3" s="109"/>
      <c r="V3" s="109"/>
      <c r="W3" s="109"/>
      <c r="X3" s="109" t="s">
        <v>431</v>
      </c>
      <c r="Y3" s="109"/>
      <c r="Z3" s="109" t="s">
        <v>434</v>
      </c>
      <c r="AA3" s="109"/>
      <c r="AB3" s="109" t="s">
        <v>420</v>
      </c>
    </row>
    <row r="4" spans="1:28" ht="11.25" customHeight="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95"/>
      <c r="L4" s="24" t="s">
        <v>414</v>
      </c>
      <c r="M4" s="24" t="s">
        <v>440</v>
      </c>
      <c r="N4" s="24" t="s">
        <v>441</v>
      </c>
      <c r="O4" s="24" t="s">
        <v>500</v>
      </c>
      <c r="P4" s="24" t="s">
        <v>442</v>
      </c>
      <c r="Q4" s="24" t="s">
        <v>420</v>
      </c>
      <c r="R4" s="24" t="s">
        <v>444</v>
      </c>
      <c r="S4" s="24" t="s">
        <v>420</v>
      </c>
      <c r="T4" s="24" t="s">
        <v>445</v>
      </c>
      <c r="U4" s="24" t="s">
        <v>446</v>
      </c>
      <c r="V4" s="24" t="s">
        <v>447</v>
      </c>
      <c r="W4" s="24" t="s">
        <v>420</v>
      </c>
      <c r="X4" s="24" t="s">
        <v>432</v>
      </c>
      <c r="Y4" s="24" t="s">
        <v>420</v>
      </c>
      <c r="Z4" s="24" t="s">
        <v>448</v>
      </c>
      <c r="AA4" s="24" t="s">
        <v>420</v>
      </c>
      <c r="AB4" s="110"/>
    </row>
    <row r="5" spans="1:28" ht="11.25" customHeight="1" x14ac:dyDescent="0.25">
      <c r="A5" s="112" t="s">
        <v>35</v>
      </c>
      <c r="B5" s="112" t="s">
        <v>72</v>
      </c>
      <c r="C5" s="112" t="s">
        <v>25</v>
      </c>
      <c r="D5" s="112" t="s">
        <v>25</v>
      </c>
      <c r="E5" s="112" t="s">
        <v>25</v>
      </c>
      <c r="F5" s="112" t="s">
        <v>25</v>
      </c>
      <c r="G5" s="23" t="s">
        <v>74</v>
      </c>
      <c r="H5" s="23" t="s">
        <v>73</v>
      </c>
      <c r="I5" s="23">
        <f>'MERCADO TE'!$U$2</f>
        <v>397.35799999999995</v>
      </c>
      <c r="J5" s="15"/>
      <c r="L5" s="20">
        <f>'TR TE'!$L$5*'TR TE'!$L$48</f>
        <v>0</v>
      </c>
      <c r="M5" s="20">
        <f>'TR TE'!$M$5*'TR TE'!$M$48</f>
        <v>24.42935212856889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-18.931718437145715</v>
      </c>
      <c r="Q5" s="20">
        <f>SUM($L$5:$P$5)</f>
        <v>5.4976336914231752</v>
      </c>
      <c r="R5" s="20">
        <f>'TR TE'!$R$5*'TR TE'!$R$48</f>
        <v>187.55902601801364</v>
      </c>
      <c r="S5" s="20">
        <f>SUM($R$5:$R$5)</f>
        <v>187.55902601801364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4.2366936734893788</v>
      </c>
      <c r="AA5" s="20">
        <f>SUM($Z$5:$Z$5)</f>
        <v>4.2366936734893788</v>
      </c>
      <c r="AB5" s="20">
        <f>SUMIF($L$4:$AA$4,"SUBTOTAL",$L$5:$AA$5)</f>
        <v>197.2933533829262</v>
      </c>
    </row>
    <row r="6" spans="1:28" ht="11.25" customHeight="1" x14ac:dyDescent="0.25">
      <c r="A6" s="112"/>
      <c r="B6" s="112"/>
      <c r="C6" s="112"/>
      <c r="D6" s="112"/>
      <c r="E6" s="112"/>
      <c r="F6" s="112"/>
      <c r="G6" s="23" t="s">
        <v>75</v>
      </c>
      <c r="H6" s="23" t="s">
        <v>73</v>
      </c>
      <c r="I6" s="23">
        <f>'MERCADO TE'!$U$3</f>
        <v>15580.922999999999</v>
      </c>
      <c r="J6" s="15"/>
      <c r="L6" s="20">
        <f>'TR TE'!$L$6*'TR TE'!$L$48</f>
        <v>0</v>
      </c>
      <c r="M6" s="20">
        <f>'TR TE'!$M$6*'TR TE'!$M$48</f>
        <v>24.42935212856889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-18.931718437145715</v>
      </c>
      <c r="Q6" s="20">
        <f>SUM($L$6:$P$6)</f>
        <v>5.4976336914231752</v>
      </c>
      <c r="R6" s="20">
        <f>'TR TE'!$R$6*'TR TE'!$R$48</f>
        <v>187.55902601801364</v>
      </c>
      <c r="S6" s="20">
        <f>SUM($R$6:$R$6)</f>
        <v>187.55902601801364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4.2366936734893788</v>
      </c>
      <c r="AA6" s="20">
        <f>SUM($Z$6:$Z$6)</f>
        <v>4.2366936734893788</v>
      </c>
      <c r="AB6" s="20">
        <f>SUMIF($L$4:$AA$4,"SUBTOTAL",$L$6:$AA$6)</f>
        <v>197.2933533829262</v>
      </c>
    </row>
    <row r="7" spans="1:28" ht="11.25" customHeight="1" x14ac:dyDescent="0.25">
      <c r="A7" s="112" t="s">
        <v>22</v>
      </c>
      <c r="B7" s="112" t="s">
        <v>72</v>
      </c>
      <c r="C7" s="112" t="s">
        <v>24</v>
      </c>
      <c r="D7" s="112" t="s">
        <v>24</v>
      </c>
      <c r="E7" s="112" t="s">
        <v>25</v>
      </c>
      <c r="F7" s="112" t="s">
        <v>25</v>
      </c>
      <c r="G7" s="23" t="s">
        <v>74</v>
      </c>
      <c r="H7" s="23" t="s">
        <v>73</v>
      </c>
      <c r="I7" s="23">
        <f>'MERCADO TE'!$U$4</f>
        <v>0</v>
      </c>
      <c r="J7" s="15"/>
      <c r="L7" s="20">
        <f>'TR TE'!$L$7*'TR TE'!$L$48</f>
        <v>0</v>
      </c>
      <c r="M7" s="20">
        <f>'TR TE'!$M$7*'TR TE'!$M$48</f>
        <v>24.42935212856889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-18.931718437145715</v>
      </c>
      <c r="Q7" s="20">
        <f>SUM($L$7:$P$7)</f>
        <v>5.4976336914231752</v>
      </c>
      <c r="R7" s="20">
        <f>'TR TE'!$R$7*'TR TE'!$R$48</f>
        <v>187.55902601801364</v>
      </c>
      <c r="S7" s="20">
        <f>SUM($R$7:$R$7)</f>
        <v>187.55902601801364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4.2366936734893788</v>
      </c>
      <c r="AA7" s="20">
        <f>SUM($Z$7:$Z$7)</f>
        <v>4.2366936734893788</v>
      </c>
      <c r="AB7" s="20">
        <f>SUMIF($L$4:$AA$4,"SUBTOTAL",$L$7:$AA$7)</f>
        <v>197.2933533829262</v>
      </c>
    </row>
    <row r="8" spans="1:28" ht="11.25" customHeight="1" x14ac:dyDescent="0.25">
      <c r="A8" s="112"/>
      <c r="B8" s="112"/>
      <c r="C8" s="112"/>
      <c r="D8" s="112"/>
      <c r="E8" s="112"/>
      <c r="F8" s="112"/>
      <c r="G8" s="23" t="s">
        <v>85</v>
      </c>
      <c r="H8" s="23" t="s">
        <v>73</v>
      </c>
      <c r="I8" s="23">
        <f>'MERCADO TE'!$U$5</f>
        <v>0</v>
      </c>
      <c r="J8" s="15"/>
      <c r="L8" s="20">
        <f>'TR TE'!$L$8*'TR TE'!$L$48</f>
        <v>0</v>
      </c>
      <c r="M8" s="20">
        <f>'TR TE'!$M$8*'TR TE'!$M$48</f>
        <v>24.42935212856889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-18.931718437145715</v>
      </c>
      <c r="Q8" s="20">
        <f>SUM($L$8:$P$8)</f>
        <v>5.4976336914231752</v>
      </c>
      <c r="R8" s="20">
        <f>'TR TE'!$R$8*'TR TE'!$R$48</f>
        <v>187.55902601801364</v>
      </c>
      <c r="S8" s="20">
        <f>SUM($R$8:$R$8)</f>
        <v>187.55902601801364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4.2366936734893788</v>
      </c>
      <c r="AA8" s="20">
        <f>SUM($Z$8:$Z$8)</f>
        <v>4.2366936734893788</v>
      </c>
      <c r="AB8" s="20">
        <f>SUMIF($L$4:$AA$4,"SUBTOTAL",$L$8:$AA$8)</f>
        <v>197.2933533829262</v>
      </c>
    </row>
    <row r="9" spans="1:28" ht="11.25" customHeight="1" x14ac:dyDescent="0.25">
      <c r="A9" s="112"/>
      <c r="B9" s="112"/>
      <c r="C9" s="112"/>
      <c r="D9" s="112"/>
      <c r="E9" s="112"/>
      <c r="F9" s="112"/>
      <c r="G9" s="23" t="s">
        <v>75</v>
      </c>
      <c r="H9" s="23" t="s">
        <v>73</v>
      </c>
      <c r="I9" s="23">
        <f>'MERCADO TE'!$U$6</f>
        <v>0</v>
      </c>
      <c r="J9" s="15"/>
      <c r="L9" s="20">
        <f>'TR TE'!$L$9*'TR TE'!$L$48</f>
        <v>0</v>
      </c>
      <c r="M9" s="20">
        <f>'TR TE'!$M$9*'TR TE'!$M$48</f>
        <v>24.42935212856889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-18.931718437145715</v>
      </c>
      <c r="Q9" s="20">
        <f>SUM($L$9:$P$9)</f>
        <v>5.4976336914231752</v>
      </c>
      <c r="R9" s="20">
        <f>'TR TE'!$R$9*'TR TE'!$R$48</f>
        <v>187.55902601801364</v>
      </c>
      <c r="S9" s="20">
        <f>SUM($R$9:$R$9)</f>
        <v>187.55902601801364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4.2366936734893788</v>
      </c>
      <c r="AA9" s="20">
        <f>SUM($Z$9:$Z$9)</f>
        <v>4.2366936734893788</v>
      </c>
      <c r="AB9" s="20">
        <f>SUMIF($L$4:$AA$4,"SUBTOTAL",$L$9:$AA$9)</f>
        <v>197.2933533829262</v>
      </c>
    </row>
    <row r="10" spans="1:28" ht="11.25" customHeight="1" x14ac:dyDescent="0.25">
      <c r="A10" s="112"/>
      <c r="B10" s="112" t="s">
        <v>86</v>
      </c>
      <c r="C10" s="112" t="s">
        <v>24</v>
      </c>
      <c r="D10" s="22" t="s">
        <v>24</v>
      </c>
      <c r="E10" s="22" t="s">
        <v>25</v>
      </c>
      <c r="F10" s="22" t="s">
        <v>25</v>
      </c>
      <c r="G10" s="23" t="s">
        <v>79</v>
      </c>
      <c r="H10" s="23" t="s">
        <v>73</v>
      </c>
      <c r="I10" s="23">
        <f>'MERCADO TE'!$U$7</f>
        <v>6839.3490000000002</v>
      </c>
      <c r="J10" s="15"/>
      <c r="L10" s="20">
        <f>'TR TE'!$L$10*'TR TE'!$L$48</f>
        <v>0</v>
      </c>
      <c r="M10" s="20">
        <f>'TR TE'!$M$10*'TR TE'!$M$48</f>
        <v>24.42935212856889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-18.931718437145715</v>
      </c>
      <c r="Q10" s="20">
        <f>SUM($L$10:$P$10)</f>
        <v>5.4976336914231752</v>
      </c>
      <c r="R10" s="20">
        <f>'TR TE'!$R$10*'TR TE'!$R$48</f>
        <v>187.55902601801364</v>
      </c>
      <c r="S10" s="20">
        <f>SUM($R$10:$R$10)</f>
        <v>187.55902601801364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4.2366936734893788</v>
      </c>
      <c r="AA10" s="20">
        <f>SUM($Z$10:$Z$10)</f>
        <v>4.2366936734893788</v>
      </c>
      <c r="AB10" s="20">
        <f>SUMIF($L$4:$AA$4,"SUBTOTAL",$L$10:$AA$10)</f>
        <v>197.2933533829262</v>
      </c>
    </row>
    <row r="11" spans="1:28" ht="11.25" customHeight="1" x14ac:dyDescent="0.25">
      <c r="A11" s="112"/>
      <c r="B11" s="112"/>
      <c r="C11" s="112"/>
      <c r="D11" s="22" t="s">
        <v>29</v>
      </c>
      <c r="E11" s="22" t="s">
        <v>25</v>
      </c>
      <c r="F11" s="22" t="s">
        <v>25</v>
      </c>
      <c r="G11" s="23" t="s">
        <v>79</v>
      </c>
      <c r="H11" s="23" t="s">
        <v>73</v>
      </c>
      <c r="I11" s="23">
        <f>'MERCADO TE'!$U$8</f>
        <v>69.570000000000007</v>
      </c>
      <c r="J11" s="15"/>
      <c r="L11" s="20">
        <f>'TR TE'!$L$11*'TR TE'!$L$48</f>
        <v>0</v>
      </c>
      <c r="M11" s="20">
        <f>'TR TE'!$M$11*'TR TE'!$M$48</f>
        <v>24.42935212856889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-18.931718437145715</v>
      </c>
      <c r="Q11" s="20">
        <f>SUM($L$11:$P$11)</f>
        <v>5.4976336914231752</v>
      </c>
      <c r="R11" s="20">
        <f>'TR TE'!$R$11*'TR TE'!$R$48</f>
        <v>187.55902601801364</v>
      </c>
      <c r="S11" s="20">
        <f>SUM($R$11:$R$11)</f>
        <v>187.55902601801364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4.2366936734893788</v>
      </c>
      <c r="AA11" s="20">
        <f>SUM($Z$11:$Z$11)</f>
        <v>4.2366936734893788</v>
      </c>
      <c r="AB11" s="20">
        <f>SUMIF($L$4:$AA$4,"SUBTOTAL",$L$11:$AA$11)</f>
        <v>197.2933533829262</v>
      </c>
    </row>
    <row r="12" spans="1:28" ht="11.25" customHeight="1" x14ac:dyDescent="0.25">
      <c r="A12" s="112"/>
      <c r="B12" s="112"/>
      <c r="C12" s="112"/>
      <c r="D12" s="22" t="s">
        <v>30</v>
      </c>
      <c r="E12" s="22" t="s">
        <v>25</v>
      </c>
      <c r="F12" s="22" t="s">
        <v>25</v>
      </c>
      <c r="G12" s="23" t="s">
        <v>79</v>
      </c>
      <c r="H12" s="23" t="s">
        <v>73</v>
      </c>
      <c r="I12" s="23">
        <f>'MERCADO TE'!$U$9</f>
        <v>149.51999999999998</v>
      </c>
      <c r="J12" s="15"/>
      <c r="L12" s="20">
        <f>'TR TE'!$L$12*'TR TE'!$L$48</f>
        <v>0</v>
      </c>
      <c r="M12" s="20">
        <f>'TR TE'!$M$12*'TR TE'!$M$48</f>
        <v>24.42935212856889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-18.931718437145715</v>
      </c>
      <c r="Q12" s="20">
        <f>SUM($L$12:$P$12)</f>
        <v>5.4976336914231752</v>
      </c>
      <c r="R12" s="20">
        <f>'TR TE'!$R$12*'TR TE'!$R$48</f>
        <v>187.55902601801364</v>
      </c>
      <c r="S12" s="20">
        <f>SUM($R$12:$R$12)</f>
        <v>187.55902601801364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4.2366936734893788</v>
      </c>
      <c r="AA12" s="20">
        <f>SUM($Z$12:$Z$12)</f>
        <v>4.2366936734893788</v>
      </c>
      <c r="AB12" s="20">
        <f>SUMIF($L$4:$AA$4,"SUBTOTAL",$L$12:$AA$12)</f>
        <v>197.2933533829262</v>
      </c>
    </row>
    <row r="13" spans="1:28" ht="11.25" customHeight="1" x14ac:dyDescent="0.25">
      <c r="A13" s="112"/>
      <c r="B13" s="112"/>
      <c r="C13" s="112"/>
      <c r="D13" s="22" t="s">
        <v>31</v>
      </c>
      <c r="E13" s="22" t="s">
        <v>25</v>
      </c>
      <c r="F13" s="22" t="s">
        <v>25</v>
      </c>
      <c r="G13" s="23" t="s">
        <v>79</v>
      </c>
      <c r="H13" s="23" t="s">
        <v>73</v>
      </c>
      <c r="I13" s="23">
        <f>'MERCADO TE'!$U$10</f>
        <v>134.06700000000001</v>
      </c>
      <c r="J13" s="15"/>
      <c r="L13" s="20">
        <f>'TR TE'!$L$13*'TR TE'!$L$48</f>
        <v>0</v>
      </c>
      <c r="M13" s="20">
        <f>'TR TE'!$M$13*'TR TE'!$M$48</f>
        <v>24.42935212856889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-18.931718437145715</v>
      </c>
      <c r="Q13" s="20">
        <f>SUM($L$13:$P$13)</f>
        <v>5.4976336914231752</v>
      </c>
      <c r="R13" s="20">
        <f>'TR TE'!$R$13*'TR TE'!$R$48</f>
        <v>187.55902601801364</v>
      </c>
      <c r="S13" s="20">
        <f>SUM($R$13:$R$13)</f>
        <v>187.55902601801364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4.2366936734893788</v>
      </c>
      <c r="AA13" s="20">
        <f>SUM($Z$13:$Z$13)</f>
        <v>4.2366936734893788</v>
      </c>
      <c r="AB13" s="20">
        <f>SUMIF($L$4:$AA$4,"SUBTOTAL",$L$13:$AA$13)</f>
        <v>197.2933533829262</v>
      </c>
    </row>
    <row r="14" spans="1:28" ht="11.25" customHeight="1" x14ac:dyDescent="0.25">
      <c r="A14" s="112"/>
      <c r="B14" s="112"/>
      <c r="C14" s="112"/>
      <c r="D14" s="22" t="s">
        <v>32</v>
      </c>
      <c r="E14" s="22" t="s">
        <v>25</v>
      </c>
      <c r="F14" s="22" t="s">
        <v>25</v>
      </c>
      <c r="G14" s="23" t="s">
        <v>79</v>
      </c>
      <c r="H14" s="23" t="s">
        <v>73</v>
      </c>
      <c r="I14" s="23">
        <f>'MERCADO TE'!$U$11</f>
        <v>36.650999999999996</v>
      </c>
      <c r="J14" s="15"/>
      <c r="L14" s="20">
        <f>'TR TE'!$L$14*'TR TE'!$L$48</f>
        <v>0</v>
      </c>
      <c r="M14" s="20">
        <f>'TR TE'!$M$14*'TR TE'!$M$48</f>
        <v>24.42935212856889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-18.931718437145715</v>
      </c>
      <c r="Q14" s="20">
        <f>SUM($L$14:$P$14)</f>
        <v>5.4976336914231752</v>
      </c>
      <c r="R14" s="20">
        <f>'TR TE'!$R$14*'TR TE'!$R$48</f>
        <v>187.55902601801364</v>
      </c>
      <c r="S14" s="20">
        <f>SUM($R$14:$R$14)</f>
        <v>187.55902601801364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4.2366936734893788</v>
      </c>
      <c r="AA14" s="20">
        <f>SUM($Z$14:$Z$14)</f>
        <v>4.2366936734893788</v>
      </c>
      <c r="AB14" s="20">
        <f>SUMIF($L$4:$AA$4,"SUBTOTAL",$L$14:$AA$14)</f>
        <v>197.2933533829262</v>
      </c>
    </row>
    <row r="15" spans="1:28" ht="11.25" customHeight="1" x14ac:dyDescent="0.25">
      <c r="A15" s="112"/>
      <c r="B15" s="112" t="s">
        <v>88</v>
      </c>
      <c r="C15" s="112" t="s">
        <v>24</v>
      </c>
      <c r="D15" s="22" t="s">
        <v>24</v>
      </c>
      <c r="E15" s="22" t="s">
        <v>25</v>
      </c>
      <c r="F15" s="22" t="s">
        <v>25</v>
      </c>
      <c r="G15" s="23" t="s">
        <v>79</v>
      </c>
      <c r="H15" s="23" t="s">
        <v>73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24.42935212856889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-18.931718437145715</v>
      </c>
      <c r="Q15" s="20">
        <f>SUM($L$15:$P$15)</f>
        <v>5.4976336914231752</v>
      </c>
      <c r="R15" s="20">
        <f>'TR TE'!$R$15*'TR TE'!$R$48</f>
        <v>187.55902601801364</v>
      </c>
      <c r="S15" s="20">
        <f>SUM($R$15:$R$15)</f>
        <v>187.55902601801364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4.2366936734893788</v>
      </c>
      <c r="AA15" s="20">
        <f>SUM($Z$15:$Z$15)</f>
        <v>4.2366936734893788</v>
      </c>
      <c r="AB15" s="20">
        <f>SUMIF($L$4:$AA$4,"SUBTOTAL",$L$15:$AA$15)</f>
        <v>197.2933533829262</v>
      </c>
    </row>
    <row r="16" spans="1:28" ht="11.25" customHeight="1" x14ac:dyDescent="0.25">
      <c r="A16" s="112"/>
      <c r="B16" s="112"/>
      <c r="C16" s="112"/>
      <c r="D16" s="22" t="s">
        <v>29</v>
      </c>
      <c r="E16" s="22" t="s">
        <v>25</v>
      </c>
      <c r="F16" s="22" t="s">
        <v>25</v>
      </c>
      <c r="G16" s="23" t="s">
        <v>79</v>
      </c>
      <c r="H16" s="23" t="s">
        <v>73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24.42935212856889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-18.931718437145715</v>
      </c>
      <c r="Q16" s="20">
        <f>SUM($L$16:$P$16)</f>
        <v>5.4976336914231752</v>
      </c>
      <c r="R16" s="20">
        <f>'TR TE'!$R$16*'TR TE'!$R$48</f>
        <v>187.55902601801364</v>
      </c>
      <c r="S16" s="20">
        <f>SUM($R$16:$R$16)</f>
        <v>187.55902601801364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4.2366936734893788</v>
      </c>
      <c r="AA16" s="20">
        <f>SUM($Z$16:$Z$16)</f>
        <v>4.2366936734893788</v>
      </c>
      <c r="AB16" s="20">
        <f>SUMIF($L$4:$AA$4,"SUBTOTAL",$L$16:$AA$16)</f>
        <v>197.2933533829262</v>
      </c>
    </row>
    <row r="17" spans="1:28" ht="11.25" customHeight="1" x14ac:dyDescent="0.25">
      <c r="A17" s="112"/>
      <c r="B17" s="112"/>
      <c r="C17" s="112"/>
      <c r="D17" s="22" t="s">
        <v>30</v>
      </c>
      <c r="E17" s="22" t="s">
        <v>25</v>
      </c>
      <c r="F17" s="22" t="s">
        <v>25</v>
      </c>
      <c r="G17" s="23" t="s">
        <v>79</v>
      </c>
      <c r="H17" s="23" t="s">
        <v>73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24.42935212856889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-18.931718437145715</v>
      </c>
      <c r="Q17" s="20">
        <f>SUM($L$17:$P$17)</f>
        <v>5.4976336914231752</v>
      </c>
      <c r="R17" s="20">
        <f>'TR TE'!$R$17*'TR TE'!$R$48</f>
        <v>187.55902601801364</v>
      </c>
      <c r="S17" s="20">
        <f>SUM($R$17:$R$17)</f>
        <v>187.55902601801364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4.2366936734893788</v>
      </c>
      <c r="AA17" s="20">
        <f>SUM($Z$17:$Z$17)</f>
        <v>4.2366936734893788</v>
      </c>
      <c r="AB17" s="20">
        <f>SUMIF($L$4:$AA$4,"SUBTOTAL",$L$17:$AA$17)</f>
        <v>197.2933533829262</v>
      </c>
    </row>
    <row r="18" spans="1:28" ht="11.25" customHeight="1" x14ac:dyDescent="0.25">
      <c r="A18" s="112"/>
      <c r="B18" s="112"/>
      <c r="C18" s="112"/>
      <c r="D18" s="22" t="s">
        <v>31</v>
      </c>
      <c r="E18" s="22" t="s">
        <v>25</v>
      </c>
      <c r="F18" s="22" t="s">
        <v>25</v>
      </c>
      <c r="G18" s="23" t="s">
        <v>79</v>
      </c>
      <c r="H18" s="23" t="s">
        <v>73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24.42935212856889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-18.931718437145715</v>
      </c>
      <c r="Q18" s="20">
        <f>SUM($L$18:$P$18)</f>
        <v>5.4976336914231752</v>
      </c>
      <c r="R18" s="20">
        <f>'TR TE'!$R$18*'TR TE'!$R$48</f>
        <v>187.55902601801364</v>
      </c>
      <c r="S18" s="20">
        <f>SUM($R$18:$R$18)</f>
        <v>187.55902601801364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4.2366936734893788</v>
      </c>
      <c r="AA18" s="20">
        <f>SUM($Z$18:$Z$18)</f>
        <v>4.2366936734893788</v>
      </c>
      <c r="AB18" s="20">
        <f>SUMIF($L$4:$AA$4,"SUBTOTAL",$L$18:$AA$18)</f>
        <v>197.2933533829262</v>
      </c>
    </row>
    <row r="19" spans="1:28" ht="11.25" customHeight="1" x14ac:dyDescent="0.25">
      <c r="A19" s="112"/>
      <c r="B19" s="112"/>
      <c r="C19" s="112"/>
      <c r="D19" s="22" t="s">
        <v>32</v>
      </c>
      <c r="E19" s="22" t="s">
        <v>25</v>
      </c>
      <c r="F19" s="22" t="s">
        <v>25</v>
      </c>
      <c r="G19" s="23" t="s">
        <v>79</v>
      </c>
      <c r="H19" s="23" t="s">
        <v>73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24.42935212856889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-18.931718437145715</v>
      </c>
      <c r="Q19" s="20">
        <f>SUM($L$19:$P$19)</f>
        <v>5.4976336914231752</v>
      </c>
      <c r="R19" s="20">
        <f>'TR TE'!$R$19*'TR TE'!$R$48</f>
        <v>187.55902601801364</v>
      </c>
      <c r="S19" s="20">
        <f>SUM($R$19:$R$19)</f>
        <v>187.55902601801364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4.2366936734893788</v>
      </c>
      <c r="AA19" s="20">
        <f>SUM($Z$19:$Z$19)</f>
        <v>4.2366936734893788</v>
      </c>
      <c r="AB19" s="20">
        <f>SUMIF($L$4:$AA$4,"SUBTOTAL",$L$19:$AA$19)</f>
        <v>197.2933533829262</v>
      </c>
    </row>
    <row r="20" spans="1:28" ht="11.25" customHeight="1" x14ac:dyDescent="0.25">
      <c r="A20" s="112" t="s">
        <v>40</v>
      </c>
      <c r="B20" s="112" t="s">
        <v>72</v>
      </c>
      <c r="C20" s="112" t="s">
        <v>41</v>
      </c>
      <c r="D20" s="112" t="s">
        <v>25</v>
      </c>
      <c r="E20" s="112" t="s">
        <v>25</v>
      </c>
      <c r="F20" s="112" t="s">
        <v>25</v>
      </c>
      <c r="G20" s="23" t="s">
        <v>74</v>
      </c>
      <c r="H20" s="23" t="s">
        <v>73</v>
      </c>
      <c r="I20" s="23">
        <f>'MERCADO TE'!$U$17</f>
        <v>0</v>
      </c>
      <c r="J20" s="15"/>
      <c r="L20" s="20">
        <f>'TR TE'!$L$20*'TR TE'!$L$48</f>
        <v>0</v>
      </c>
      <c r="M20" s="20">
        <f>'TR TE'!$M$20*'TR TE'!$M$48</f>
        <v>24.42935212856889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-18.931718437145715</v>
      </c>
      <c r="Q20" s="20">
        <f>SUM($L$20:$P$20)</f>
        <v>5.4976336914231752</v>
      </c>
      <c r="R20" s="20">
        <f>'TR TE'!$R$20*'TR TE'!$R$48</f>
        <v>187.55902601801364</v>
      </c>
      <c r="S20" s="20">
        <f>SUM($R$20:$R$20)</f>
        <v>187.55902601801364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4.2366936734893788</v>
      </c>
      <c r="AA20" s="20">
        <f>SUM($Z$20:$Z$20)</f>
        <v>4.2366936734893788</v>
      </c>
      <c r="AB20" s="20">
        <f>SUMIF($L$4:$AA$4,"SUBTOTAL",$L$20:$AA$20)</f>
        <v>197.2933533829262</v>
      </c>
    </row>
    <row r="21" spans="1:28" ht="11.25" customHeight="1" x14ac:dyDescent="0.25">
      <c r="A21" s="112"/>
      <c r="B21" s="112"/>
      <c r="C21" s="112"/>
      <c r="D21" s="112"/>
      <c r="E21" s="112"/>
      <c r="F21" s="112"/>
      <c r="G21" s="23" t="s">
        <v>85</v>
      </c>
      <c r="H21" s="23" t="s">
        <v>73</v>
      </c>
      <c r="I21" s="23">
        <f>'MERCADO TE'!$U$18</f>
        <v>0</v>
      </c>
      <c r="J21" s="15"/>
      <c r="L21" s="20">
        <f>'TR TE'!$L$21*'TR TE'!$L$48</f>
        <v>0</v>
      </c>
      <c r="M21" s="20">
        <f>'TR TE'!$M$21*'TR TE'!$M$48</f>
        <v>24.42935212856889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-18.931718437145715</v>
      </c>
      <c r="Q21" s="20">
        <f>SUM($L$21:$P$21)</f>
        <v>5.4976336914231752</v>
      </c>
      <c r="R21" s="20">
        <f>'TR TE'!$R$21*'TR TE'!$R$48</f>
        <v>187.55902601801364</v>
      </c>
      <c r="S21" s="20">
        <f>SUM($R$21:$R$21)</f>
        <v>187.55902601801364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4.2366936734893788</v>
      </c>
      <c r="AA21" s="20">
        <f>SUM($Z$21:$Z$21)</f>
        <v>4.2366936734893788</v>
      </c>
      <c r="AB21" s="20">
        <f>SUMIF($L$4:$AA$4,"SUBTOTAL",$L$21:$AA$21)</f>
        <v>197.2933533829262</v>
      </c>
    </row>
    <row r="22" spans="1:28" ht="11.25" customHeight="1" x14ac:dyDescent="0.25">
      <c r="A22" s="112"/>
      <c r="B22" s="112"/>
      <c r="C22" s="112"/>
      <c r="D22" s="112"/>
      <c r="E22" s="112"/>
      <c r="F22" s="112"/>
      <c r="G22" s="23" t="s">
        <v>75</v>
      </c>
      <c r="H22" s="23" t="s">
        <v>73</v>
      </c>
      <c r="I22" s="23">
        <f>'MERCADO TE'!$U$19</f>
        <v>0</v>
      </c>
      <c r="J22" s="15"/>
      <c r="L22" s="20">
        <f>'TR TE'!$L$22*'TR TE'!$L$48</f>
        <v>0</v>
      </c>
      <c r="M22" s="20">
        <f>'TR TE'!$M$22*'TR TE'!$M$48</f>
        <v>24.42935212856889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-18.931718437145715</v>
      </c>
      <c r="Q22" s="20">
        <f>SUM($L$22:$P$22)</f>
        <v>5.4976336914231752</v>
      </c>
      <c r="R22" s="20">
        <f>'TR TE'!$R$22*'TR TE'!$R$48</f>
        <v>187.55902601801364</v>
      </c>
      <c r="S22" s="20">
        <f>SUM($R$22:$R$22)</f>
        <v>187.55902601801364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4.2366936734893788</v>
      </c>
      <c r="AA22" s="20">
        <f>SUM($Z$22:$Z$22)</f>
        <v>4.2366936734893788</v>
      </c>
      <c r="AB22" s="20">
        <f>SUMIF($L$4:$AA$4,"SUBTOTAL",$L$22:$AA$22)</f>
        <v>197.2933533829262</v>
      </c>
    </row>
    <row r="23" spans="1:28" ht="11.25" customHeight="1" x14ac:dyDescent="0.25">
      <c r="A23" s="112"/>
      <c r="B23" s="22" t="s">
        <v>86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79</v>
      </c>
      <c r="H23" s="23" t="s">
        <v>73</v>
      </c>
      <c r="I23" s="23">
        <f>'MERCADO TE'!$U$20</f>
        <v>5066.7939999999999</v>
      </c>
      <c r="J23" s="15"/>
      <c r="L23" s="20">
        <f>'TR TE'!$L$23*'TR TE'!$L$48</f>
        <v>0</v>
      </c>
      <c r="M23" s="20">
        <f>'TR TE'!$M$23*'TR TE'!$M$48</f>
        <v>24.42935212856889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-18.931718437145715</v>
      </c>
      <c r="Q23" s="20">
        <f>SUM($L$23:$P$23)</f>
        <v>5.4976336914231752</v>
      </c>
      <c r="R23" s="20">
        <f>'TR TE'!$R$23*'TR TE'!$R$48</f>
        <v>187.55902601801364</v>
      </c>
      <c r="S23" s="20">
        <f>SUM($R$23:$R$23)</f>
        <v>187.55902601801364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4.2366936734893788</v>
      </c>
      <c r="AA23" s="20">
        <f>SUM($Z$23:$Z$23)</f>
        <v>4.2366936734893788</v>
      </c>
      <c r="AB23" s="20">
        <f>SUMIF($L$4:$AA$4,"SUBTOTAL",$L$23:$AA$23)</f>
        <v>197.2933533829262</v>
      </c>
    </row>
    <row r="24" spans="1:28" ht="11.25" customHeight="1" x14ac:dyDescent="0.25">
      <c r="A24" s="112"/>
      <c r="B24" s="112" t="s">
        <v>72</v>
      </c>
      <c r="C24" s="112" t="s">
        <v>41</v>
      </c>
      <c r="D24" s="112" t="s">
        <v>90</v>
      </c>
      <c r="E24" s="112" t="s">
        <v>25</v>
      </c>
      <c r="F24" s="112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24.42935212856889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-18.931718437145715</v>
      </c>
      <c r="Q24" s="20">
        <f>SUM($L$24:$P$24)</f>
        <v>5.4976336914231752</v>
      </c>
      <c r="R24" s="20">
        <f>'TR TE'!$R$24*'TR TE'!$R$48</f>
        <v>187.55902601801364</v>
      </c>
      <c r="S24" s="20">
        <f>SUM($R$24:$R$24)</f>
        <v>187.55902601801364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4.2366936734893788</v>
      </c>
      <c r="AA24" s="20">
        <f>SUM($Z$24:$Z$24)</f>
        <v>4.2366936734893788</v>
      </c>
      <c r="AB24" s="20">
        <f>SUMIF($L$4:$AA$4,"SUBTOTAL",$L$24:$AA$24)</f>
        <v>197.2933533829262</v>
      </c>
    </row>
    <row r="25" spans="1:28" ht="11.25" customHeight="1" x14ac:dyDescent="0.25">
      <c r="A25" s="112"/>
      <c r="B25" s="112"/>
      <c r="C25" s="112"/>
      <c r="D25" s="112"/>
      <c r="E25" s="112"/>
      <c r="F25" s="112"/>
      <c r="G25" s="23" t="s">
        <v>85</v>
      </c>
      <c r="H25" s="23" t="s">
        <v>73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24.42935212856889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-18.931718437145715</v>
      </c>
      <c r="Q25" s="20">
        <f>SUM($L$25:$P$25)</f>
        <v>5.4976336914231752</v>
      </c>
      <c r="R25" s="20">
        <f>'TR TE'!$R$25*'TR TE'!$R$48</f>
        <v>187.55902601801364</v>
      </c>
      <c r="S25" s="20">
        <f>SUM($R$25:$R$25)</f>
        <v>187.55902601801364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4.2366936734893788</v>
      </c>
      <c r="AA25" s="20">
        <f>SUM($Z$25:$Z$25)</f>
        <v>4.2366936734893788</v>
      </c>
      <c r="AB25" s="20">
        <f>SUMIF($L$4:$AA$4,"SUBTOTAL",$L$25:$AA$25)</f>
        <v>197.2933533829262</v>
      </c>
    </row>
    <row r="26" spans="1:28" ht="11.25" customHeight="1" x14ac:dyDescent="0.25">
      <c r="A26" s="112"/>
      <c r="B26" s="112"/>
      <c r="C26" s="112"/>
      <c r="D26" s="112"/>
      <c r="E26" s="112"/>
      <c r="F26" s="112"/>
      <c r="G26" s="23" t="s">
        <v>75</v>
      </c>
      <c r="H26" s="23" t="s">
        <v>73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24.42935212856889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-18.931718437145715</v>
      </c>
      <c r="Q26" s="20">
        <f>SUM($L$26:$P$26)</f>
        <v>5.4976336914231752</v>
      </c>
      <c r="R26" s="20">
        <f>'TR TE'!$R$26*'TR TE'!$R$48</f>
        <v>187.55902601801364</v>
      </c>
      <c r="S26" s="20">
        <f>SUM($R$26:$R$26)</f>
        <v>187.55902601801364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4.2366936734893788</v>
      </c>
      <c r="AA26" s="20">
        <f>SUM($Z$26:$Z$26)</f>
        <v>4.2366936734893788</v>
      </c>
      <c r="AB26" s="20">
        <f>SUMIF($L$4:$AA$4,"SUBTOTAL",$L$26:$AA$26)</f>
        <v>197.2933533829262</v>
      </c>
    </row>
    <row r="27" spans="1:28" ht="11.25" customHeight="1" x14ac:dyDescent="0.25">
      <c r="A27" s="112"/>
      <c r="B27" s="22" t="s">
        <v>86</v>
      </c>
      <c r="C27" s="22" t="s">
        <v>41</v>
      </c>
      <c r="D27" s="22" t="s">
        <v>90</v>
      </c>
      <c r="E27" s="22" t="s">
        <v>25</v>
      </c>
      <c r="F27" s="22" t="s">
        <v>25</v>
      </c>
      <c r="G27" s="23" t="s">
        <v>79</v>
      </c>
      <c r="H27" s="23" t="s">
        <v>73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24.42935212856889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-18.931718437145715</v>
      </c>
      <c r="Q27" s="20">
        <f>SUM($L$27:$P$27)</f>
        <v>5.4976336914231752</v>
      </c>
      <c r="R27" s="20">
        <f>'TR TE'!$R$27*'TR TE'!$R$48</f>
        <v>187.55902601801364</v>
      </c>
      <c r="S27" s="20">
        <f>SUM($R$27:$R$27)</f>
        <v>187.55902601801364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4.2366936734893788</v>
      </c>
      <c r="AA27" s="20">
        <f>SUM($Z$27:$Z$27)</f>
        <v>4.2366936734893788</v>
      </c>
      <c r="AB27" s="20">
        <f>SUMIF($L$4:$AA$4,"SUBTOTAL",$L$27:$AA$27)</f>
        <v>197.2933533829262</v>
      </c>
    </row>
    <row r="28" spans="1:28" ht="11.25" customHeight="1" x14ac:dyDescent="0.25">
      <c r="A28" s="112"/>
      <c r="B28" s="112" t="s">
        <v>72</v>
      </c>
      <c r="C28" s="112" t="s">
        <v>41</v>
      </c>
      <c r="D28" s="112" t="s">
        <v>91</v>
      </c>
      <c r="E28" s="112" t="s">
        <v>25</v>
      </c>
      <c r="F28" s="112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24.42935212856889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-18.931718437145715</v>
      </c>
      <c r="Q28" s="20">
        <f>SUM($L$28:$P$28)</f>
        <v>5.4976336914231752</v>
      </c>
      <c r="R28" s="20">
        <f>'TR TE'!$R$28*'TR TE'!$R$48</f>
        <v>187.55902601801364</v>
      </c>
      <c r="S28" s="20">
        <f>SUM($R$28:$R$28)</f>
        <v>187.55902601801364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4.2366936734893788</v>
      </c>
      <c r="AA28" s="20">
        <f>SUM($Z$28:$Z$28)</f>
        <v>4.2366936734893788</v>
      </c>
      <c r="AB28" s="20">
        <f>SUMIF($L$4:$AA$4,"SUBTOTAL",$L$28:$AA$28)</f>
        <v>197.2933533829262</v>
      </c>
    </row>
    <row r="29" spans="1:28" ht="11.25" customHeight="1" x14ac:dyDescent="0.25">
      <c r="A29" s="112"/>
      <c r="B29" s="112"/>
      <c r="C29" s="112"/>
      <c r="D29" s="112"/>
      <c r="E29" s="112"/>
      <c r="F29" s="112"/>
      <c r="G29" s="23" t="s">
        <v>85</v>
      </c>
      <c r="H29" s="23" t="s">
        <v>73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24.42935212856889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-18.931718437145715</v>
      </c>
      <c r="Q29" s="20">
        <f>SUM($L$29:$P$29)</f>
        <v>5.4976336914231752</v>
      </c>
      <c r="R29" s="20">
        <f>'TR TE'!$R$29*'TR TE'!$R$48</f>
        <v>187.55902601801364</v>
      </c>
      <c r="S29" s="20">
        <f>SUM($R$29:$R$29)</f>
        <v>187.55902601801364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4.2366936734893788</v>
      </c>
      <c r="AA29" s="20">
        <f>SUM($Z$29:$Z$29)</f>
        <v>4.2366936734893788</v>
      </c>
      <c r="AB29" s="20">
        <f>SUMIF($L$4:$AA$4,"SUBTOTAL",$L$29:$AA$29)</f>
        <v>197.2933533829262</v>
      </c>
    </row>
    <row r="30" spans="1:28" ht="11.25" customHeight="1" x14ac:dyDescent="0.25">
      <c r="A30" s="112"/>
      <c r="B30" s="112"/>
      <c r="C30" s="112"/>
      <c r="D30" s="112"/>
      <c r="E30" s="112"/>
      <c r="F30" s="112"/>
      <c r="G30" s="23" t="s">
        <v>75</v>
      </c>
      <c r="H30" s="23" t="s">
        <v>73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24.42935212856889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-18.931718437145715</v>
      </c>
      <c r="Q30" s="20">
        <f>SUM($L$30:$P$30)</f>
        <v>5.4976336914231752</v>
      </c>
      <c r="R30" s="20">
        <f>'TR TE'!$R$30*'TR TE'!$R$48</f>
        <v>187.55902601801364</v>
      </c>
      <c r="S30" s="20">
        <f>SUM($R$30:$R$30)</f>
        <v>187.55902601801364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4.2366936734893788</v>
      </c>
      <c r="AA30" s="20">
        <f>SUM($Z$30:$Z$30)</f>
        <v>4.2366936734893788</v>
      </c>
      <c r="AB30" s="20">
        <f>SUMIF($L$4:$AA$4,"SUBTOTAL",$L$30:$AA$30)</f>
        <v>197.2933533829262</v>
      </c>
    </row>
    <row r="31" spans="1:28" ht="11.25" customHeight="1" x14ac:dyDescent="0.25">
      <c r="A31" s="112"/>
      <c r="B31" s="22" t="s">
        <v>86</v>
      </c>
      <c r="C31" s="22" t="s">
        <v>41</v>
      </c>
      <c r="D31" s="22" t="s">
        <v>91</v>
      </c>
      <c r="E31" s="22" t="s">
        <v>25</v>
      </c>
      <c r="F31" s="22" t="s">
        <v>25</v>
      </c>
      <c r="G31" s="23" t="s">
        <v>79</v>
      </c>
      <c r="H31" s="23" t="s">
        <v>73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24.42935212856889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-18.931718437145715</v>
      </c>
      <c r="Q31" s="20">
        <f>SUM($L$31:$P$31)</f>
        <v>5.4976336914231752</v>
      </c>
      <c r="R31" s="20">
        <f>'TR TE'!$R$31*'TR TE'!$R$48</f>
        <v>187.55902601801364</v>
      </c>
      <c r="S31" s="20">
        <f>SUM($R$31:$R$31)</f>
        <v>187.55902601801364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4.2366936734893788</v>
      </c>
      <c r="AA31" s="20">
        <f>SUM($Z$31:$Z$31)</f>
        <v>4.2366936734893788</v>
      </c>
      <c r="AB31" s="20">
        <f>SUMIF($L$4:$AA$4,"SUBTOTAL",$L$31:$AA$31)</f>
        <v>197.2933533829262</v>
      </c>
    </row>
    <row r="32" spans="1:28" ht="11.25" customHeight="1" x14ac:dyDescent="0.25">
      <c r="A32" s="112"/>
      <c r="B32" s="112" t="s">
        <v>88</v>
      </c>
      <c r="C32" s="112" t="s">
        <v>41</v>
      </c>
      <c r="D32" s="22" t="s">
        <v>25</v>
      </c>
      <c r="E32" s="22" t="s">
        <v>25</v>
      </c>
      <c r="F32" s="22" t="s">
        <v>25</v>
      </c>
      <c r="G32" s="23" t="s">
        <v>79</v>
      </c>
      <c r="H32" s="23" t="s">
        <v>73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24.42935212856889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-18.931718437145715</v>
      </c>
      <c r="Q32" s="20">
        <f>SUM($L$32:$P$32)</f>
        <v>5.4976336914231752</v>
      </c>
      <c r="R32" s="20">
        <f>'TR TE'!$R$32*'TR TE'!$R$48</f>
        <v>187.55902601801364</v>
      </c>
      <c r="S32" s="20">
        <f>SUM($R$32:$R$32)</f>
        <v>187.55902601801364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4.2366936734893788</v>
      </c>
      <c r="AA32" s="20">
        <f>SUM($Z$32:$Z$32)</f>
        <v>4.2366936734893788</v>
      </c>
      <c r="AB32" s="20">
        <f>SUMIF($L$4:$AA$4,"SUBTOTAL",$L$32:$AA$32)</f>
        <v>197.2933533829262</v>
      </c>
    </row>
    <row r="33" spans="1:28" ht="11.25" customHeight="1" x14ac:dyDescent="0.25">
      <c r="A33" s="112"/>
      <c r="B33" s="112"/>
      <c r="C33" s="112"/>
      <c r="D33" s="22" t="s">
        <v>90</v>
      </c>
      <c r="E33" s="22" t="s">
        <v>25</v>
      </c>
      <c r="F33" s="22" t="s">
        <v>25</v>
      </c>
      <c r="G33" s="23" t="s">
        <v>79</v>
      </c>
      <c r="H33" s="23" t="s">
        <v>73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24.42935212856889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-18.931718437145715</v>
      </c>
      <c r="Q33" s="20">
        <f>SUM($L$33:$P$33)</f>
        <v>5.4976336914231752</v>
      </c>
      <c r="R33" s="20">
        <f>'TR TE'!$R$33*'TR TE'!$R$48</f>
        <v>187.55902601801364</v>
      </c>
      <c r="S33" s="20">
        <f>SUM($R$33:$R$33)</f>
        <v>187.55902601801364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4.2366936734893788</v>
      </c>
      <c r="AA33" s="20">
        <f>SUM($Z$33:$Z$33)</f>
        <v>4.2366936734893788</v>
      </c>
      <c r="AB33" s="20">
        <f>SUMIF($L$4:$AA$4,"SUBTOTAL",$L$33:$AA$33)</f>
        <v>197.2933533829262</v>
      </c>
    </row>
    <row r="34" spans="1:28" ht="11.25" customHeight="1" x14ac:dyDescent="0.25">
      <c r="A34" s="112"/>
      <c r="B34" s="112"/>
      <c r="C34" s="112"/>
      <c r="D34" s="22" t="s">
        <v>91</v>
      </c>
      <c r="E34" s="22" t="s">
        <v>25</v>
      </c>
      <c r="F34" s="22" t="s">
        <v>25</v>
      </c>
      <c r="G34" s="23" t="s">
        <v>79</v>
      </c>
      <c r="H34" s="23" t="s">
        <v>73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24.42935212856889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-18.931718437145715</v>
      </c>
      <c r="Q34" s="20">
        <f>SUM($L$34:$P$34)</f>
        <v>5.4976336914231752</v>
      </c>
      <c r="R34" s="20">
        <f>'TR TE'!$R$34*'TR TE'!$R$48</f>
        <v>187.55902601801364</v>
      </c>
      <c r="S34" s="20">
        <f>SUM($R$34:$R$34)</f>
        <v>187.55902601801364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4.2366936734893788</v>
      </c>
      <c r="AA34" s="20">
        <f>SUM($Z$34:$Z$34)</f>
        <v>4.2366936734893788</v>
      </c>
      <c r="AB34" s="20">
        <f>SUMIF($L$4:$AA$4,"SUBTOTAL",$L$34:$AA$34)</f>
        <v>197.2933533829262</v>
      </c>
    </row>
    <row r="35" spans="1:28" ht="11.25" customHeight="1" x14ac:dyDescent="0.25">
      <c r="A35" s="112" t="s">
        <v>33</v>
      </c>
      <c r="B35" s="112" t="s">
        <v>72</v>
      </c>
      <c r="C35" s="112" t="s">
        <v>25</v>
      </c>
      <c r="D35" s="112" t="s">
        <v>25</v>
      </c>
      <c r="E35" s="112" t="s">
        <v>25</v>
      </c>
      <c r="F35" s="112" t="s">
        <v>25</v>
      </c>
      <c r="G35" s="23" t="s">
        <v>74</v>
      </c>
      <c r="H35" s="23" t="s">
        <v>73</v>
      </c>
      <c r="I35" s="23">
        <f>'MERCADO TE'!$U$32</f>
        <v>0</v>
      </c>
      <c r="J35" s="15"/>
      <c r="L35" s="20">
        <f>'TR TE'!$L$35*'TR TE'!$L$48</f>
        <v>0</v>
      </c>
      <c r="M35" s="20">
        <f>'TR TE'!$M$35*'TR TE'!$M$48</f>
        <v>24.42935212856889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-18.931718437145715</v>
      </c>
      <c r="Q35" s="20">
        <f>SUM($L$35:$P$35)</f>
        <v>5.4976336914231752</v>
      </c>
      <c r="R35" s="20">
        <f>'TR TE'!$R$35*'TR TE'!$R$48</f>
        <v>187.55902601801364</v>
      </c>
      <c r="S35" s="20">
        <f>SUM($R$35:$R$35)</f>
        <v>187.55902601801364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4.2366936734893788</v>
      </c>
      <c r="AA35" s="20">
        <f>SUM($Z$35:$Z$35)</f>
        <v>4.2366936734893788</v>
      </c>
      <c r="AB35" s="20">
        <f>SUMIF($L$4:$AA$4,"SUBTOTAL",$L$35:$AA$35)</f>
        <v>197.2933533829262</v>
      </c>
    </row>
    <row r="36" spans="1:28" ht="11.25" customHeight="1" x14ac:dyDescent="0.25">
      <c r="A36" s="112"/>
      <c r="B36" s="112"/>
      <c r="C36" s="112"/>
      <c r="D36" s="112"/>
      <c r="E36" s="112"/>
      <c r="F36" s="112"/>
      <c r="G36" s="23" t="s">
        <v>85</v>
      </c>
      <c r="H36" s="23" t="s">
        <v>73</v>
      </c>
      <c r="I36" s="23">
        <f>'MERCADO TE'!$U$33</f>
        <v>0</v>
      </c>
      <c r="J36" s="15"/>
      <c r="L36" s="20">
        <f>'TR TE'!$L$36*'TR TE'!$L$48</f>
        <v>0</v>
      </c>
      <c r="M36" s="20">
        <f>'TR TE'!$M$36*'TR TE'!$M$48</f>
        <v>24.42935212856889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-18.931718437145715</v>
      </c>
      <c r="Q36" s="20">
        <f>SUM($L$36:$P$36)</f>
        <v>5.4976336914231752</v>
      </c>
      <c r="R36" s="20">
        <f>'TR TE'!$R$36*'TR TE'!$R$48</f>
        <v>187.55902601801364</v>
      </c>
      <c r="S36" s="20">
        <f>SUM($R$36:$R$36)</f>
        <v>187.55902601801364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4.2366936734893788</v>
      </c>
      <c r="AA36" s="20">
        <f>SUM($Z$36:$Z$36)</f>
        <v>4.2366936734893788</v>
      </c>
      <c r="AB36" s="20">
        <f>SUMIF($L$4:$AA$4,"SUBTOTAL",$L$36:$AA$36)</f>
        <v>197.2933533829262</v>
      </c>
    </row>
    <row r="37" spans="1:28" ht="11.25" customHeight="1" x14ac:dyDescent="0.25">
      <c r="A37" s="112"/>
      <c r="B37" s="112"/>
      <c r="C37" s="112"/>
      <c r="D37" s="112"/>
      <c r="E37" s="112"/>
      <c r="F37" s="112"/>
      <c r="G37" s="23" t="s">
        <v>75</v>
      </c>
      <c r="H37" s="23" t="s">
        <v>73</v>
      </c>
      <c r="I37" s="23">
        <f>'MERCADO TE'!$U$34</f>
        <v>0</v>
      </c>
      <c r="J37" s="15"/>
      <c r="L37" s="20">
        <f>'TR TE'!$L$37*'TR TE'!$L$48</f>
        <v>0</v>
      </c>
      <c r="M37" s="20">
        <f>'TR TE'!$M$37*'TR TE'!$M$48</f>
        <v>24.42935212856889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-18.931718437145715</v>
      </c>
      <c r="Q37" s="20">
        <f>SUM($L$37:$P$37)</f>
        <v>5.4976336914231752</v>
      </c>
      <c r="R37" s="20">
        <f>'TR TE'!$R$37*'TR TE'!$R$48</f>
        <v>187.55902601801364</v>
      </c>
      <c r="S37" s="20">
        <f>SUM($R$37:$R$37)</f>
        <v>187.55902601801364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4.2366936734893788</v>
      </c>
      <c r="AA37" s="20">
        <f>SUM($Z$37:$Z$37)</f>
        <v>4.2366936734893788</v>
      </c>
      <c r="AB37" s="20">
        <f>SUMIF($L$4:$AA$4,"SUBTOTAL",$L$37:$AA$37)</f>
        <v>197.2933533829262</v>
      </c>
    </row>
    <row r="38" spans="1:28" ht="11.25" customHeight="1" x14ac:dyDescent="0.25">
      <c r="A38" s="112"/>
      <c r="B38" s="22" t="s">
        <v>86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79</v>
      </c>
      <c r="H38" s="23" t="s">
        <v>73</v>
      </c>
      <c r="I38" s="23">
        <f>'MERCADO TE'!$U$35</f>
        <v>2202.5430000000001</v>
      </c>
      <c r="J38" s="15"/>
      <c r="L38" s="20">
        <f>'TR TE'!$L$38*'TR TE'!$L$48</f>
        <v>0</v>
      </c>
      <c r="M38" s="20">
        <f>'TR TE'!$M$38*'TR TE'!$M$48</f>
        <v>24.42935212856889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-18.931718437145715</v>
      </c>
      <c r="Q38" s="20">
        <f>SUM($L$38:$P$38)</f>
        <v>5.4976336914231752</v>
      </c>
      <c r="R38" s="20">
        <f>'TR TE'!$R$38*'TR TE'!$R$48</f>
        <v>187.55902601801364</v>
      </c>
      <c r="S38" s="20">
        <f>SUM($R$38:$R$38)</f>
        <v>187.55902601801364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4.2366936734893788</v>
      </c>
      <c r="AA38" s="20">
        <f>SUM($Z$38:$Z$38)</f>
        <v>4.2366936734893788</v>
      </c>
      <c r="AB38" s="20">
        <f>SUMIF($L$4:$AA$4,"SUBTOTAL",$L$38:$AA$38)</f>
        <v>197.2933533829262</v>
      </c>
    </row>
    <row r="39" spans="1:28" ht="11.25" customHeight="1" x14ac:dyDescent="0.25">
      <c r="A39" s="112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79</v>
      </c>
      <c r="H39" s="23" t="s">
        <v>73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24.42935212856889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-18.931718437145715</v>
      </c>
      <c r="Q39" s="20">
        <f>SUM($L$39:$P$39)</f>
        <v>5.4976336914231752</v>
      </c>
      <c r="R39" s="20">
        <f>'TR TE'!$R$39*'TR TE'!$R$48</f>
        <v>187.55902601801364</v>
      </c>
      <c r="S39" s="20">
        <f>SUM($R$39:$R$39)</f>
        <v>187.55902601801364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4.2366936734893788</v>
      </c>
      <c r="AA39" s="20">
        <f>SUM($Z$39:$Z$39)</f>
        <v>4.2366936734893788</v>
      </c>
      <c r="AB39" s="20">
        <f>SUMIF($L$4:$AA$4,"SUBTOTAL",$L$39:$AA$39)</f>
        <v>197.2933533829262</v>
      </c>
    </row>
    <row r="40" spans="1:28" ht="11.25" customHeight="1" x14ac:dyDescent="0.25">
      <c r="A40" s="112" t="s">
        <v>43</v>
      </c>
      <c r="B40" s="112" t="s">
        <v>86</v>
      </c>
      <c r="C40" s="112" t="s">
        <v>44</v>
      </c>
      <c r="D40" s="22" t="s">
        <v>45</v>
      </c>
      <c r="E40" s="22" t="s">
        <v>25</v>
      </c>
      <c r="F40" s="22" t="s">
        <v>25</v>
      </c>
      <c r="G40" s="23" t="s">
        <v>79</v>
      </c>
      <c r="H40" s="23" t="s">
        <v>73</v>
      </c>
      <c r="I40" s="23">
        <f>'MERCADO TE'!$U$37</f>
        <v>786.13800000000003</v>
      </c>
      <c r="J40" s="15"/>
      <c r="L40" s="20">
        <f>'TR TE'!$L$40*'TR TE'!$L$48</f>
        <v>0</v>
      </c>
      <c r="M40" s="20">
        <f>'TR TE'!$M$40*'TR TE'!$M$48</f>
        <v>13.436143670712891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-10.412445140430144</v>
      </c>
      <c r="Q40" s="20">
        <f>SUM($L$40:$P$40)</f>
        <v>3.023698530282747</v>
      </c>
      <c r="R40" s="20">
        <f>'TR TE'!$R$40*'TR TE'!$R$48</f>
        <v>103.15746430990751</v>
      </c>
      <c r="S40" s="20">
        <f>SUM($R$40:$R$40)</f>
        <v>103.15746430990751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2.3301815204191585</v>
      </c>
      <c r="AA40" s="20">
        <f>SUM($Z$40:$Z$40)</f>
        <v>2.3301815204191585</v>
      </c>
      <c r="AB40" s="20">
        <f>SUMIF($L$4:$AA$4,"SUBTOTAL",$L$40:$AA$40)</f>
        <v>108.51134436060941</v>
      </c>
    </row>
    <row r="41" spans="1:28" ht="11.25" customHeight="1" x14ac:dyDescent="0.25">
      <c r="A41" s="112"/>
      <c r="B41" s="112"/>
      <c r="C41" s="112"/>
      <c r="D41" s="23" t="s">
        <v>46</v>
      </c>
      <c r="E41" s="23" t="s">
        <v>25</v>
      </c>
      <c r="F41" s="23" t="s">
        <v>25</v>
      </c>
      <c r="G41" s="23" t="s">
        <v>79</v>
      </c>
      <c r="H41" s="23" t="s">
        <v>73</v>
      </c>
      <c r="I41" s="23">
        <f>'MERCADO TE'!$U$38</f>
        <v>25.399000000000001</v>
      </c>
      <c r="J41" s="15"/>
      <c r="L41" s="20">
        <f>'TR TE'!$L$41*'TR TE'!$L$48</f>
        <v>0</v>
      </c>
      <c r="M41" s="20">
        <f>'TR TE'!$M$41*'TR TE'!$M$48</f>
        <v>14.657611277141333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-11.359031062287428</v>
      </c>
      <c r="Q41" s="20">
        <f>SUM($L$41:$P$41)</f>
        <v>3.2985802148539047</v>
      </c>
      <c r="R41" s="20">
        <f>'TR TE'!$R$41*'TR TE'!$R$48</f>
        <v>112.53541561080819</v>
      </c>
      <c r="S41" s="20">
        <f>SUM($R$41:$R$41)</f>
        <v>112.53541561080819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2.5420162040936272</v>
      </c>
      <c r="AA41" s="20">
        <f>SUM($Z$41:$Z$41)</f>
        <v>2.5420162040936272</v>
      </c>
      <c r="AB41" s="20">
        <f>SUMIF($L$4:$AA$4,"SUBTOTAL",$L$41:$AA$41)</f>
        <v>118.37601202975571</v>
      </c>
    </row>
    <row r="43" spans="1:28" ht="11.25" customHeight="1" x14ac:dyDescent="0.25">
      <c r="K43" s="25" t="s">
        <v>534</v>
      </c>
      <c r="L43" s="20">
        <f t="shared" ref="L43:AB43" si="0">SUMPRODUCT($I$5:$I$41,L$5:L$41)</f>
        <v>0</v>
      </c>
      <c r="M43" s="20">
        <f t="shared" si="0"/>
        <v>755462.82000000007</v>
      </c>
      <c r="N43" s="20">
        <f t="shared" si="0"/>
        <v>0</v>
      </c>
      <c r="O43" s="20">
        <f t="shared" si="0"/>
        <v>0</v>
      </c>
      <c r="P43" s="20">
        <f t="shared" si="0"/>
        <v>-585451.85000000009</v>
      </c>
      <c r="Q43" s="20">
        <f t="shared" si="0"/>
        <v>170010.97</v>
      </c>
      <c r="R43" s="20">
        <f t="shared" si="0"/>
        <v>5800148.5248689083</v>
      </c>
      <c r="S43" s="20">
        <f t="shared" si="0"/>
        <v>5800148.5248689083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131017.16874052631</v>
      </c>
      <c r="AA43" s="20">
        <f t="shared" si="0"/>
        <v>131017.16874052631</v>
      </c>
      <c r="AB43" s="20">
        <f t="shared" si="0"/>
        <v>6101176.6636094358</v>
      </c>
    </row>
    <row r="44" spans="1:28" ht="11.25" customHeight="1" x14ac:dyDescent="0.25">
      <c r="K44" s="25" t="s">
        <v>453</v>
      </c>
      <c r="L44" s="20">
        <f>CUSTOS!$D$30</f>
        <v>0</v>
      </c>
      <c r="M44" s="20">
        <f>CUSTOS!$D$31</f>
        <v>755462.82000000007</v>
      </c>
      <c r="N44" s="20">
        <f>CUSTOS!$D$32</f>
        <v>0</v>
      </c>
      <c r="O44" s="20">
        <f>CUSTOS!$D$33</f>
        <v>0</v>
      </c>
      <c r="P44" s="20">
        <f>CUSTOS!$D$34</f>
        <v>-585451.85</v>
      </c>
      <c r="Q44" s="20">
        <f>CUSTOS!$D$35</f>
        <v>170010.97000000009</v>
      </c>
      <c r="R44" s="20">
        <f>CUSTOS!$D$36</f>
        <v>5800148.5248689074</v>
      </c>
      <c r="S44" s="20">
        <f>CUSTOS!$D$37</f>
        <v>5800148.5248689074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131017.16874052629</v>
      </c>
      <c r="AA44" s="20">
        <f>CUSTOS!$D$45</f>
        <v>131017.16874052629</v>
      </c>
      <c r="AB44" s="20">
        <f>CUSTOS!$D$46</f>
        <v>6101176.663609433</v>
      </c>
    </row>
    <row r="45" spans="1:28" ht="11.25" customHeight="1" x14ac:dyDescent="0.25">
      <c r="K45" s="25" t="s">
        <v>454</v>
      </c>
      <c r="L45" s="20">
        <f>CUSTOS!$E$30</f>
        <v>0</v>
      </c>
      <c r="M45" s="20">
        <f>CUSTOS!$E$31</f>
        <v>8837.6698649977188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8837.6698649977188</v>
      </c>
      <c r="R45" s="20">
        <f>CUSTOS!$E$36</f>
        <v>-304032.1134910314</v>
      </c>
      <c r="S45" s="20">
        <f>CUSTOS!$E$37</f>
        <v>-304032.1134910314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-65088.632676172878</v>
      </c>
      <c r="Y45" s="20">
        <f>CUSTOS!$E$43</f>
        <v>-65088.632676172878</v>
      </c>
      <c r="Z45" s="20">
        <f>CUSTOS!$E$44</f>
        <v>-6867.6563272478616</v>
      </c>
      <c r="AA45" s="20">
        <f>CUSTOS!$E$45</f>
        <v>-6867.6563272478616</v>
      </c>
      <c r="AB45" s="20">
        <f>CUSTOS!$E$46</f>
        <v>-367150.7326294544</v>
      </c>
    </row>
    <row r="46" spans="1:28" ht="11.25" customHeight="1" x14ac:dyDescent="0.25">
      <c r="K46" s="25" t="s">
        <v>455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535</v>
      </c>
      <c r="L47" s="20">
        <f>'TR TE'!$L$47*L48</f>
        <v>0</v>
      </c>
      <c r="M47" s="20">
        <f>'TR TE'!$M$47*M48</f>
        <v>0.28578315624860418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-9.8979190562410029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-0.22207895646847603</v>
      </c>
      <c r="AA47" s="20"/>
      <c r="AB47" s="20"/>
    </row>
    <row r="48" spans="1:28" ht="11.25" customHeight="1" x14ac:dyDescent="0.25">
      <c r="K48" s="25" t="s">
        <v>522</v>
      </c>
      <c r="L48" s="20">
        <f>IF(L44&lt;&gt;0,L45/L44,0)</f>
        <v>0</v>
      </c>
      <c r="M48" s="20">
        <f>IF(M44&lt;&gt;0,M45/M44,0)</f>
        <v>1.1698351832850911E-2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-5.241798760625755E-2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-1.0668209800315255E-2</v>
      </c>
      <c r="Y48" s="20"/>
      <c r="Z48" s="20">
        <f>IF(Z44&lt;&gt;0,Z45/Z44,0)</f>
        <v>-5.241798760625755E-2</v>
      </c>
      <c r="AA48" s="20"/>
      <c r="AB48" s="20"/>
    </row>
    <row r="49" spans="11:28" ht="11.25" customHeight="1" x14ac:dyDescent="0.25">
      <c r="K49" s="25" t="s">
        <v>537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820" priority="33" operator="notEqual">
      <formula>$L$44</formula>
    </cfRule>
    <cfRule type="cellIs" dxfId="819" priority="34" operator="equal">
      <formula>$L$44</formula>
    </cfRule>
  </conditionalFormatting>
  <conditionalFormatting sqref="M43">
    <cfRule type="cellIs" dxfId="818" priority="31" operator="notEqual">
      <formula>$M$44</formula>
    </cfRule>
    <cfRule type="cellIs" dxfId="817" priority="32" operator="equal">
      <formula>$M$44</formula>
    </cfRule>
  </conditionalFormatting>
  <conditionalFormatting sqref="N43">
    <cfRule type="cellIs" dxfId="816" priority="29" operator="notEqual">
      <formula>$N$44</formula>
    </cfRule>
    <cfRule type="cellIs" dxfId="815" priority="30" operator="equal">
      <formula>$N$44</formula>
    </cfRule>
  </conditionalFormatting>
  <conditionalFormatting sqref="O43">
    <cfRule type="cellIs" dxfId="814" priority="27" operator="notEqual">
      <formula>$O$44</formula>
    </cfRule>
    <cfRule type="cellIs" dxfId="813" priority="28" operator="equal">
      <formula>$O$44</formula>
    </cfRule>
  </conditionalFormatting>
  <conditionalFormatting sqref="P43">
    <cfRule type="cellIs" dxfId="812" priority="25" operator="notEqual">
      <formula>$P$44</formula>
    </cfRule>
    <cfRule type="cellIs" dxfId="811" priority="26" operator="equal">
      <formula>$P$44</formula>
    </cfRule>
  </conditionalFormatting>
  <conditionalFormatting sqref="Q43">
    <cfRule type="cellIs" dxfId="810" priority="23" operator="notEqual">
      <formula>$Q$44</formula>
    </cfRule>
    <cfRule type="cellIs" dxfId="809" priority="24" operator="equal">
      <formula>$Q$44</formula>
    </cfRule>
  </conditionalFormatting>
  <conditionalFormatting sqref="R43">
    <cfRule type="cellIs" dxfId="808" priority="21" operator="notEqual">
      <formula>$R$44</formula>
    </cfRule>
    <cfRule type="cellIs" dxfId="807" priority="22" operator="equal">
      <formula>$R$44</formula>
    </cfRule>
  </conditionalFormatting>
  <conditionalFormatting sqref="S43">
    <cfRule type="cellIs" dxfId="806" priority="19" operator="notEqual">
      <formula>$S$44</formula>
    </cfRule>
    <cfRule type="cellIs" dxfId="805" priority="20" operator="equal">
      <formula>$S$44</formula>
    </cfRule>
  </conditionalFormatting>
  <conditionalFormatting sqref="T43">
    <cfRule type="cellIs" dxfId="804" priority="17" operator="notEqual">
      <formula>$T$44</formula>
    </cfRule>
    <cfRule type="cellIs" dxfId="803" priority="18" operator="equal">
      <formula>$T$44</formula>
    </cfRule>
  </conditionalFormatting>
  <conditionalFormatting sqref="U43">
    <cfRule type="cellIs" dxfId="802" priority="15" operator="notEqual">
      <formula>$U$44</formula>
    </cfRule>
    <cfRule type="cellIs" dxfId="801" priority="16" operator="equal">
      <formula>$U$44</formula>
    </cfRule>
  </conditionalFormatting>
  <conditionalFormatting sqref="V43">
    <cfRule type="cellIs" dxfId="800" priority="13" operator="notEqual">
      <formula>$V$44</formula>
    </cfRule>
    <cfRule type="cellIs" dxfId="799" priority="14" operator="equal">
      <formula>$V$44</formula>
    </cfRule>
  </conditionalFormatting>
  <conditionalFormatting sqref="W43">
    <cfRule type="cellIs" dxfId="798" priority="11" operator="notEqual">
      <formula>$W$44</formula>
    </cfRule>
    <cfRule type="cellIs" dxfId="797" priority="12" operator="equal">
      <formula>$W$44</formula>
    </cfRule>
  </conditionalFormatting>
  <conditionalFormatting sqref="X43">
    <cfRule type="cellIs" dxfId="796" priority="9" operator="notEqual">
      <formula>$X$44</formula>
    </cfRule>
    <cfRule type="cellIs" dxfId="795" priority="10" operator="equal">
      <formula>$X$44</formula>
    </cfRule>
  </conditionalFormatting>
  <conditionalFormatting sqref="Y43">
    <cfRule type="cellIs" dxfId="794" priority="7" operator="notEqual">
      <formula>$Y$44</formula>
    </cfRule>
    <cfRule type="cellIs" dxfId="793" priority="8" operator="equal">
      <formula>$Y$44</formula>
    </cfRule>
  </conditionalFormatting>
  <conditionalFormatting sqref="Z43">
    <cfRule type="cellIs" dxfId="792" priority="5" operator="notEqual">
      <formula>$Z$44</formula>
    </cfRule>
    <cfRule type="cellIs" dxfId="791" priority="6" operator="equal">
      <formula>$Z$44</formula>
    </cfRule>
  </conditionalFormatting>
  <conditionalFormatting sqref="AA43">
    <cfRule type="cellIs" dxfId="790" priority="3" operator="notEqual">
      <formula>$AA$44</formula>
    </cfRule>
    <cfRule type="cellIs" dxfId="789" priority="4" operator="equal">
      <formula>$AA$44</formula>
    </cfRule>
  </conditionalFormatting>
  <conditionalFormatting sqref="AB43">
    <cfRule type="cellIs" dxfId="788" priority="1" operator="notEqual">
      <formula>$AB$44</formula>
    </cfRule>
    <cfRule type="cellIs" dxfId="78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8A3-E22F-4992-93D5-3C765EBF45A7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8.7109375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1" t="s">
        <v>63</v>
      </c>
      <c r="B1" s="111" t="s">
        <v>64</v>
      </c>
      <c r="C1" s="111" t="s">
        <v>65</v>
      </c>
      <c r="D1" s="111" t="s">
        <v>66</v>
      </c>
      <c r="E1" s="111" t="s">
        <v>67</v>
      </c>
      <c r="F1" s="111" t="s">
        <v>15</v>
      </c>
      <c r="G1" s="111" t="s">
        <v>69</v>
      </c>
      <c r="H1" s="111" t="s">
        <v>70</v>
      </c>
      <c r="I1" s="111" t="s">
        <v>512</v>
      </c>
      <c r="J1" s="95"/>
      <c r="L1" s="109" t="s">
        <v>539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</row>
    <row r="2" spans="1:28" ht="11.25" customHeigh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95"/>
      <c r="L2" s="109" t="s">
        <v>439</v>
      </c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</row>
    <row r="3" spans="1:28" ht="11.25" customHeight="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95"/>
      <c r="L3" s="109" t="s">
        <v>412</v>
      </c>
      <c r="M3" s="109"/>
      <c r="N3" s="109"/>
      <c r="O3" s="109"/>
      <c r="P3" s="109"/>
      <c r="Q3" s="109"/>
      <c r="R3" s="109" t="s">
        <v>443</v>
      </c>
      <c r="S3" s="109"/>
      <c r="T3" s="109" t="s">
        <v>421</v>
      </c>
      <c r="U3" s="109"/>
      <c r="V3" s="109"/>
      <c r="W3" s="109"/>
      <c r="X3" s="109" t="s">
        <v>431</v>
      </c>
      <c r="Y3" s="109"/>
      <c r="Z3" s="109" t="s">
        <v>434</v>
      </c>
      <c r="AA3" s="109"/>
      <c r="AB3" s="109" t="s">
        <v>420</v>
      </c>
    </row>
    <row r="4" spans="1:28" ht="11.25" customHeight="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95"/>
      <c r="L4" s="24" t="s">
        <v>414</v>
      </c>
      <c r="M4" s="24" t="s">
        <v>440</v>
      </c>
      <c r="N4" s="24" t="s">
        <v>441</v>
      </c>
      <c r="O4" s="24" t="s">
        <v>500</v>
      </c>
      <c r="P4" s="24" t="s">
        <v>442</v>
      </c>
      <c r="Q4" s="24" t="s">
        <v>420</v>
      </c>
      <c r="R4" s="24" t="s">
        <v>444</v>
      </c>
      <c r="S4" s="24" t="s">
        <v>420</v>
      </c>
      <c r="T4" s="24" t="s">
        <v>445</v>
      </c>
      <c r="U4" s="24" t="s">
        <v>446</v>
      </c>
      <c r="V4" s="24" t="s">
        <v>447</v>
      </c>
      <c r="W4" s="24" t="s">
        <v>420</v>
      </c>
      <c r="X4" s="24" t="s">
        <v>432</v>
      </c>
      <c r="Y4" s="24" t="s">
        <v>420</v>
      </c>
      <c r="Z4" s="24" t="s">
        <v>448</v>
      </c>
      <c r="AA4" s="24" t="s">
        <v>420</v>
      </c>
      <c r="AB4" s="110"/>
    </row>
    <row r="5" spans="1:28" ht="11.25" customHeight="1" x14ac:dyDescent="0.25">
      <c r="A5" s="112" t="s">
        <v>35</v>
      </c>
      <c r="B5" s="112" t="s">
        <v>72</v>
      </c>
      <c r="C5" s="112" t="s">
        <v>25</v>
      </c>
      <c r="D5" s="112" t="s">
        <v>25</v>
      </c>
      <c r="E5" s="112" t="s">
        <v>25</v>
      </c>
      <c r="F5" s="112" t="s">
        <v>25</v>
      </c>
      <c r="G5" s="23" t="s">
        <v>74</v>
      </c>
      <c r="H5" s="23" t="s">
        <v>73</v>
      </c>
      <c r="I5" s="23">
        <f>'MERCADO TE'!$U$2</f>
        <v>397.35799999999995</v>
      </c>
      <c r="J5" s="15"/>
      <c r="L5" s="20">
        <f>'TE BE'!$L$5*'TE BE'!$L$48</f>
        <v>0</v>
      </c>
      <c r="M5" s="20">
        <f>'TE BE'!$M$5*'TE BE'!$M$48</f>
        <v>0.28578315624860418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0.28578315624860418</v>
      </c>
      <c r="R5" s="20">
        <f>'TE BE'!$R$5*'TE BE'!$R$48</f>
        <v>-9.8314667012539765</v>
      </c>
      <c r="S5" s="20">
        <f>SUM($R$5:$R$5)</f>
        <v>-9.8314667012539765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-2.1047668860967943</v>
      </c>
      <c r="Y5" s="20">
        <f>SUM($X$5:$X$5)</f>
        <v>-2.1047668860967943</v>
      </c>
      <c r="Z5" s="20">
        <f>'TE BE'!$Z$5*'TE BE'!$Z$48</f>
        <v>-0.22207895646847603</v>
      </c>
      <c r="AA5" s="20">
        <f>SUM($Z$5:$Z$5)</f>
        <v>-0.22207895646847603</v>
      </c>
      <c r="AB5" s="20">
        <f>SUMIF($L$4:$AA$4,"SUBTOTAL",$L$5:$AA$5)</f>
        <v>-11.872529387570642</v>
      </c>
    </row>
    <row r="6" spans="1:28" ht="11.25" customHeight="1" x14ac:dyDescent="0.25">
      <c r="A6" s="112"/>
      <c r="B6" s="112"/>
      <c r="C6" s="112"/>
      <c r="D6" s="112"/>
      <c r="E6" s="112"/>
      <c r="F6" s="112"/>
      <c r="G6" s="23" t="s">
        <v>75</v>
      </c>
      <c r="H6" s="23" t="s">
        <v>73</v>
      </c>
      <c r="I6" s="23">
        <f>'MERCADO TE'!$U$3</f>
        <v>15580.922999999999</v>
      </c>
      <c r="J6" s="15"/>
      <c r="L6" s="20">
        <f>'TE BE'!$L$6*'TE BE'!$L$48</f>
        <v>0</v>
      </c>
      <c r="M6" s="20">
        <f>'TE BE'!$M$6*'TE BE'!$M$48</f>
        <v>0.28578315624860418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0.28578315624860418</v>
      </c>
      <c r="R6" s="20">
        <f>'TE BE'!$R$6*'TE BE'!$R$48</f>
        <v>-9.8314667012539765</v>
      </c>
      <c r="S6" s="20">
        <f>SUM($R$6:$R$6)</f>
        <v>-9.8314667012539765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-2.1047668860967943</v>
      </c>
      <c r="Y6" s="20">
        <f>SUM($X$6:$X$6)</f>
        <v>-2.1047668860967943</v>
      </c>
      <c r="Z6" s="20">
        <f>'TE BE'!$Z$6*'TE BE'!$Z$48</f>
        <v>-0.22207895646847603</v>
      </c>
      <c r="AA6" s="20">
        <f>SUM($Z$6:$Z$6)</f>
        <v>-0.22207895646847603</v>
      </c>
      <c r="AB6" s="20">
        <f>SUMIF($L$4:$AA$4,"SUBTOTAL",$L$6:$AA$6)</f>
        <v>-11.872529387570642</v>
      </c>
    </row>
    <row r="7" spans="1:28" ht="11.25" customHeight="1" x14ac:dyDescent="0.25">
      <c r="A7" s="112" t="s">
        <v>22</v>
      </c>
      <c r="B7" s="112" t="s">
        <v>72</v>
      </c>
      <c r="C7" s="112" t="s">
        <v>24</v>
      </c>
      <c r="D7" s="112" t="s">
        <v>24</v>
      </c>
      <c r="E7" s="112" t="s">
        <v>25</v>
      </c>
      <c r="F7" s="112" t="s">
        <v>25</v>
      </c>
      <c r="G7" s="23" t="s">
        <v>74</v>
      </c>
      <c r="H7" s="23" t="s">
        <v>73</v>
      </c>
      <c r="I7" s="23">
        <f>'MERCADO TE'!$U$4</f>
        <v>0</v>
      </c>
      <c r="J7" s="15"/>
      <c r="L7" s="20">
        <f>'TE BE'!$L$7*'TE BE'!$L$48</f>
        <v>0</v>
      </c>
      <c r="M7" s="20">
        <f>'TE BE'!$M$7*'TE BE'!$M$48</f>
        <v>0.28578315624860418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0.28578315624860418</v>
      </c>
      <c r="R7" s="20">
        <f>'TE BE'!$R$7*'TE BE'!$R$48</f>
        <v>-9.8314667012539765</v>
      </c>
      <c r="S7" s="20">
        <f>SUM($R$7:$R$7)</f>
        <v>-9.8314667012539765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-2.1047668860967943</v>
      </c>
      <c r="Y7" s="20">
        <f>SUM($X$7:$X$7)</f>
        <v>-2.1047668860967943</v>
      </c>
      <c r="Z7" s="20">
        <f>'TE BE'!$Z$7*'TE BE'!$Z$48</f>
        <v>-0.22207895646847603</v>
      </c>
      <c r="AA7" s="20">
        <f>SUM($Z$7:$Z$7)</f>
        <v>-0.22207895646847603</v>
      </c>
      <c r="AB7" s="20">
        <f>SUMIF($L$4:$AA$4,"SUBTOTAL",$L$7:$AA$7)</f>
        <v>-11.872529387570642</v>
      </c>
    </row>
    <row r="8" spans="1:28" ht="11.25" customHeight="1" x14ac:dyDescent="0.25">
      <c r="A8" s="112"/>
      <c r="B8" s="112"/>
      <c r="C8" s="112"/>
      <c r="D8" s="112"/>
      <c r="E8" s="112"/>
      <c r="F8" s="112"/>
      <c r="G8" s="23" t="s">
        <v>85</v>
      </c>
      <c r="H8" s="23" t="s">
        <v>73</v>
      </c>
      <c r="I8" s="23">
        <f>'MERCADO TE'!$U$5</f>
        <v>0</v>
      </c>
      <c r="J8" s="15"/>
      <c r="L8" s="20">
        <f>'TE BE'!$L$8*'TE BE'!$L$48</f>
        <v>0</v>
      </c>
      <c r="M8" s="20">
        <f>'TE BE'!$M$8*'TE BE'!$M$48</f>
        <v>0.28578315624860418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0.28578315624860418</v>
      </c>
      <c r="R8" s="20">
        <f>'TE BE'!$R$8*'TE BE'!$R$48</f>
        <v>-9.8314667012539765</v>
      </c>
      <c r="S8" s="20">
        <f>SUM($R$8:$R$8)</f>
        <v>-9.8314667012539765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-2.1047668860967943</v>
      </c>
      <c r="Y8" s="20">
        <f>SUM($X$8:$X$8)</f>
        <v>-2.1047668860967943</v>
      </c>
      <c r="Z8" s="20">
        <f>'TE BE'!$Z$8*'TE BE'!$Z$48</f>
        <v>-0.22207895646847603</v>
      </c>
      <c r="AA8" s="20">
        <f>SUM($Z$8:$Z$8)</f>
        <v>-0.22207895646847603</v>
      </c>
      <c r="AB8" s="20">
        <f>SUMIF($L$4:$AA$4,"SUBTOTAL",$L$8:$AA$8)</f>
        <v>-11.872529387570642</v>
      </c>
    </row>
    <row r="9" spans="1:28" ht="11.25" customHeight="1" x14ac:dyDescent="0.25">
      <c r="A9" s="112"/>
      <c r="B9" s="112"/>
      <c r="C9" s="112"/>
      <c r="D9" s="112"/>
      <c r="E9" s="112"/>
      <c r="F9" s="112"/>
      <c r="G9" s="23" t="s">
        <v>75</v>
      </c>
      <c r="H9" s="23" t="s">
        <v>73</v>
      </c>
      <c r="I9" s="23">
        <f>'MERCADO TE'!$U$6</f>
        <v>0</v>
      </c>
      <c r="J9" s="15"/>
      <c r="L9" s="20">
        <f>'TE BE'!$L$9*'TE BE'!$L$48</f>
        <v>0</v>
      </c>
      <c r="M9" s="20">
        <f>'TE BE'!$M$9*'TE BE'!$M$48</f>
        <v>0.28578315624860418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0.28578315624860418</v>
      </c>
      <c r="R9" s="20">
        <f>'TE BE'!$R$9*'TE BE'!$R$48</f>
        <v>-9.8314667012539765</v>
      </c>
      <c r="S9" s="20">
        <f>SUM($R$9:$R$9)</f>
        <v>-9.8314667012539765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-2.1047668860967943</v>
      </c>
      <c r="Y9" s="20">
        <f>SUM($X$9:$X$9)</f>
        <v>-2.1047668860967943</v>
      </c>
      <c r="Z9" s="20">
        <f>'TE BE'!$Z$9*'TE BE'!$Z$48</f>
        <v>-0.22207895646847603</v>
      </c>
      <c r="AA9" s="20">
        <f>SUM($Z$9:$Z$9)</f>
        <v>-0.22207895646847603</v>
      </c>
      <c r="AB9" s="20">
        <f>SUMIF($L$4:$AA$4,"SUBTOTAL",$L$9:$AA$9)</f>
        <v>-11.872529387570642</v>
      </c>
    </row>
    <row r="10" spans="1:28" ht="11.25" customHeight="1" x14ac:dyDescent="0.25">
      <c r="A10" s="112"/>
      <c r="B10" s="112" t="s">
        <v>86</v>
      </c>
      <c r="C10" s="112" t="s">
        <v>24</v>
      </c>
      <c r="D10" s="22" t="s">
        <v>24</v>
      </c>
      <c r="E10" s="22" t="s">
        <v>25</v>
      </c>
      <c r="F10" s="22" t="s">
        <v>25</v>
      </c>
      <c r="G10" s="23" t="s">
        <v>79</v>
      </c>
      <c r="H10" s="23" t="s">
        <v>73</v>
      </c>
      <c r="I10" s="23">
        <f>'MERCADO TE'!$U$7</f>
        <v>6839.3490000000002</v>
      </c>
      <c r="J10" s="15"/>
      <c r="L10" s="20">
        <f>'TE BE'!$L$10*'TE BE'!$L$48</f>
        <v>0</v>
      </c>
      <c r="M10" s="20">
        <f>'TE BE'!$M$10*'TE BE'!$M$48</f>
        <v>0.28578315624860418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0.28578315624860418</v>
      </c>
      <c r="R10" s="20">
        <f>'TE BE'!$R$10*'TE BE'!$R$48</f>
        <v>-9.8314667012539765</v>
      </c>
      <c r="S10" s="20">
        <f>SUM($R$10:$R$10)</f>
        <v>-9.8314667012539765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-2.1047668860967943</v>
      </c>
      <c r="Y10" s="20">
        <f>SUM($X$10:$X$10)</f>
        <v>-2.1047668860967943</v>
      </c>
      <c r="Z10" s="20">
        <f>'TE BE'!$Z$10*'TE BE'!$Z$48</f>
        <v>-0.22207895646847603</v>
      </c>
      <c r="AA10" s="20">
        <f>SUM($Z$10:$Z$10)</f>
        <v>-0.22207895646847603</v>
      </c>
      <c r="AB10" s="20">
        <f>SUMIF($L$4:$AA$4,"SUBTOTAL",$L$10:$AA$10)</f>
        <v>-11.872529387570642</v>
      </c>
    </row>
    <row r="11" spans="1:28" ht="11.25" customHeight="1" x14ac:dyDescent="0.25">
      <c r="A11" s="112"/>
      <c r="B11" s="112"/>
      <c r="C11" s="112"/>
      <c r="D11" s="22" t="s">
        <v>29</v>
      </c>
      <c r="E11" s="22" t="s">
        <v>25</v>
      </c>
      <c r="F11" s="22" t="s">
        <v>25</v>
      </c>
      <c r="G11" s="23" t="s">
        <v>79</v>
      </c>
      <c r="H11" s="23" t="s">
        <v>73</v>
      </c>
      <c r="I11" s="23">
        <f>'MERCADO TE'!$U$8</f>
        <v>69.570000000000007</v>
      </c>
      <c r="J11" s="15"/>
      <c r="L11" s="20">
        <f>'TE BE'!$L$11*'TE BE'!$L$48</f>
        <v>0</v>
      </c>
      <c r="M11" s="20">
        <f>'TE BE'!$M$11*'TE BE'!$M$48</f>
        <v>0.28578315624860418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0.28578315624860418</v>
      </c>
      <c r="R11" s="20">
        <f>'TE BE'!$R$11*'TE BE'!$R$48</f>
        <v>-9.8314667012539765</v>
      </c>
      <c r="S11" s="20">
        <f>SUM($R$11:$R$11)</f>
        <v>-9.8314667012539765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-2.1047668860967943</v>
      </c>
      <c r="Y11" s="20">
        <f>SUM($X$11:$X$11)</f>
        <v>-2.1047668860967943</v>
      </c>
      <c r="Z11" s="20">
        <f>'TE BE'!$Z$11*'TE BE'!$Z$48</f>
        <v>-0.22207895646847603</v>
      </c>
      <c r="AA11" s="20">
        <f>SUM($Z$11:$Z$11)</f>
        <v>-0.22207895646847603</v>
      </c>
      <c r="AB11" s="20">
        <f>SUMIF($L$4:$AA$4,"SUBTOTAL",$L$11:$AA$11)</f>
        <v>-11.872529387570642</v>
      </c>
    </row>
    <row r="12" spans="1:28" ht="11.25" customHeight="1" x14ac:dyDescent="0.25">
      <c r="A12" s="112"/>
      <c r="B12" s="112"/>
      <c r="C12" s="112"/>
      <c r="D12" s="22" t="s">
        <v>30</v>
      </c>
      <c r="E12" s="22" t="s">
        <v>25</v>
      </c>
      <c r="F12" s="22" t="s">
        <v>25</v>
      </c>
      <c r="G12" s="23" t="s">
        <v>79</v>
      </c>
      <c r="H12" s="23" t="s">
        <v>73</v>
      </c>
      <c r="I12" s="23">
        <f>'MERCADO TE'!$U$9</f>
        <v>149.51999999999998</v>
      </c>
      <c r="J12" s="15"/>
      <c r="L12" s="20">
        <f>'TE BE'!$L$12*'TE BE'!$L$48</f>
        <v>0</v>
      </c>
      <c r="M12" s="20">
        <f>'TE BE'!$M$12*'TE BE'!$M$48</f>
        <v>0.28578315624860418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0.28578315624860418</v>
      </c>
      <c r="R12" s="20">
        <f>'TE BE'!$R$12*'TE BE'!$R$48</f>
        <v>-9.8314667012539765</v>
      </c>
      <c r="S12" s="20">
        <f>SUM($R$12:$R$12)</f>
        <v>-9.8314667012539765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-2.1047668860967943</v>
      </c>
      <c r="Y12" s="20">
        <f>SUM($X$12:$X$12)</f>
        <v>-2.1047668860967943</v>
      </c>
      <c r="Z12" s="20">
        <f>'TE BE'!$Z$12*'TE BE'!$Z$48</f>
        <v>-0.22207895646847603</v>
      </c>
      <c r="AA12" s="20">
        <f>SUM($Z$12:$Z$12)</f>
        <v>-0.22207895646847603</v>
      </c>
      <c r="AB12" s="20">
        <f>SUMIF($L$4:$AA$4,"SUBTOTAL",$L$12:$AA$12)</f>
        <v>-11.872529387570642</v>
      </c>
    </row>
    <row r="13" spans="1:28" ht="11.25" customHeight="1" x14ac:dyDescent="0.25">
      <c r="A13" s="112"/>
      <c r="B13" s="112"/>
      <c r="C13" s="112"/>
      <c r="D13" s="22" t="s">
        <v>31</v>
      </c>
      <c r="E13" s="22" t="s">
        <v>25</v>
      </c>
      <c r="F13" s="22" t="s">
        <v>25</v>
      </c>
      <c r="G13" s="23" t="s">
        <v>79</v>
      </c>
      <c r="H13" s="23" t="s">
        <v>73</v>
      </c>
      <c r="I13" s="23">
        <f>'MERCADO TE'!$U$10</f>
        <v>134.06700000000001</v>
      </c>
      <c r="J13" s="15"/>
      <c r="L13" s="20">
        <f>'TE BE'!$L$13*'TE BE'!$L$48</f>
        <v>0</v>
      </c>
      <c r="M13" s="20">
        <f>'TE BE'!$M$13*'TE BE'!$M$48</f>
        <v>0.28578315624860418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0.28578315624860418</v>
      </c>
      <c r="R13" s="20">
        <f>'TE BE'!$R$13*'TE BE'!$R$48</f>
        <v>-9.8314667012539765</v>
      </c>
      <c r="S13" s="20">
        <f>SUM($R$13:$R$13)</f>
        <v>-9.8314667012539765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-2.1047668860967943</v>
      </c>
      <c r="Y13" s="20">
        <f>SUM($X$13:$X$13)</f>
        <v>-2.1047668860967943</v>
      </c>
      <c r="Z13" s="20">
        <f>'TE BE'!$Z$13*'TE BE'!$Z$48</f>
        <v>-0.22207895646847603</v>
      </c>
      <c r="AA13" s="20">
        <f>SUM($Z$13:$Z$13)</f>
        <v>-0.22207895646847603</v>
      </c>
      <c r="AB13" s="20">
        <f>SUMIF($L$4:$AA$4,"SUBTOTAL",$L$13:$AA$13)</f>
        <v>-11.872529387570642</v>
      </c>
    </row>
    <row r="14" spans="1:28" ht="11.25" customHeight="1" x14ac:dyDescent="0.25">
      <c r="A14" s="112"/>
      <c r="B14" s="112"/>
      <c r="C14" s="112"/>
      <c r="D14" s="22" t="s">
        <v>32</v>
      </c>
      <c r="E14" s="22" t="s">
        <v>25</v>
      </c>
      <c r="F14" s="22" t="s">
        <v>25</v>
      </c>
      <c r="G14" s="23" t="s">
        <v>79</v>
      </c>
      <c r="H14" s="23" t="s">
        <v>73</v>
      </c>
      <c r="I14" s="23">
        <f>'MERCADO TE'!$U$11</f>
        <v>36.650999999999996</v>
      </c>
      <c r="J14" s="15"/>
      <c r="L14" s="20">
        <f>'TE BE'!$L$14*'TE BE'!$L$48</f>
        <v>0</v>
      </c>
      <c r="M14" s="20">
        <f>'TE BE'!$M$14*'TE BE'!$M$48</f>
        <v>0.28578315624860418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0.28578315624860418</v>
      </c>
      <c r="R14" s="20">
        <f>'TE BE'!$R$14*'TE BE'!$R$48</f>
        <v>-9.8314667012539765</v>
      </c>
      <c r="S14" s="20">
        <f>SUM($R$14:$R$14)</f>
        <v>-9.8314667012539765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-2.1047668860967943</v>
      </c>
      <c r="Y14" s="20">
        <f>SUM($X$14:$X$14)</f>
        <v>-2.1047668860967943</v>
      </c>
      <c r="Z14" s="20">
        <f>'TE BE'!$Z$14*'TE BE'!$Z$48</f>
        <v>-0.22207895646847603</v>
      </c>
      <c r="AA14" s="20">
        <f>SUM($Z$14:$Z$14)</f>
        <v>-0.22207895646847603</v>
      </c>
      <c r="AB14" s="20">
        <f>SUMIF($L$4:$AA$4,"SUBTOTAL",$L$14:$AA$14)</f>
        <v>-11.872529387570642</v>
      </c>
    </row>
    <row r="15" spans="1:28" ht="11.25" customHeight="1" x14ac:dyDescent="0.25">
      <c r="A15" s="112"/>
      <c r="B15" s="112" t="s">
        <v>88</v>
      </c>
      <c r="C15" s="112" t="s">
        <v>24</v>
      </c>
      <c r="D15" s="22" t="s">
        <v>24</v>
      </c>
      <c r="E15" s="22" t="s">
        <v>25</v>
      </c>
      <c r="F15" s="22" t="s">
        <v>25</v>
      </c>
      <c r="G15" s="23" t="s">
        <v>79</v>
      </c>
      <c r="H15" s="23" t="s">
        <v>73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0.28578315624860418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0.28578315624860418</v>
      </c>
      <c r="R15" s="20">
        <f>'TE BE'!$R$15*'TE BE'!$R$48</f>
        <v>-9.8314667012539765</v>
      </c>
      <c r="S15" s="20">
        <f>SUM($R$15:$R$15)</f>
        <v>-9.8314667012539765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-2.1047668860967943</v>
      </c>
      <c r="Y15" s="20">
        <f>SUM($X$15:$X$15)</f>
        <v>-2.1047668860967943</v>
      </c>
      <c r="Z15" s="20">
        <f>'TE BE'!$Z$15*'TE BE'!$Z$48</f>
        <v>-0.22207895646847603</v>
      </c>
      <c r="AA15" s="20">
        <f>SUM($Z$15:$Z$15)</f>
        <v>-0.22207895646847603</v>
      </c>
      <c r="AB15" s="20">
        <f>SUMIF($L$4:$AA$4,"SUBTOTAL",$L$15:$AA$15)</f>
        <v>-11.872529387570642</v>
      </c>
    </row>
    <row r="16" spans="1:28" ht="11.25" customHeight="1" x14ac:dyDescent="0.25">
      <c r="A16" s="112"/>
      <c r="B16" s="112"/>
      <c r="C16" s="112"/>
      <c r="D16" s="22" t="s">
        <v>29</v>
      </c>
      <c r="E16" s="22" t="s">
        <v>25</v>
      </c>
      <c r="F16" s="22" t="s">
        <v>25</v>
      </c>
      <c r="G16" s="23" t="s">
        <v>79</v>
      </c>
      <c r="H16" s="23" t="s">
        <v>73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0.28578315624860418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0.28578315624860418</v>
      </c>
      <c r="R16" s="20">
        <f>'TE BE'!$R$16*'TE BE'!$R$48</f>
        <v>-9.8314667012539765</v>
      </c>
      <c r="S16" s="20">
        <f>SUM($R$16:$R$16)</f>
        <v>-9.8314667012539765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-2.1047668860967943</v>
      </c>
      <c r="Y16" s="20">
        <f>SUM($X$16:$X$16)</f>
        <v>-2.1047668860967943</v>
      </c>
      <c r="Z16" s="20">
        <f>'TE BE'!$Z$16*'TE BE'!$Z$48</f>
        <v>-0.22207895646847603</v>
      </c>
      <c r="AA16" s="20">
        <f>SUM($Z$16:$Z$16)</f>
        <v>-0.22207895646847603</v>
      </c>
      <c r="AB16" s="20">
        <f>SUMIF($L$4:$AA$4,"SUBTOTAL",$L$16:$AA$16)</f>
        <v>-11.872529387570642</v>
      </c>
    </row>
    <row r="17" spans="1:28" ht="11.25" customHeight="1" x14ac:dyDescent="0.25">
      <c r="A17" s="112"/>
      <c r="B17" s="112"/>
      <c r="C17" s="112"/>
      <c r="D17" s="22" t="s">
        <v>30</v>
      </c>
      <c r="E17" s="22" t="s">
        <v>25</v>
      </c>
      <c r="F17" s="22" t="s">
        <v>25</v>
      </c>
      <c r="G17" s="23" t="s">
        <v>79</v>
      </c>
      <c r="H17" s="23" t="s">
        <v>73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0.28578315624860418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0.28578315624860418</v>
      </c>
      <c r="R17" s="20">
        <f>'TE BE'!$R$17*'TE BE'!$R$48</f>
        <v>-9.8314667012539765</v>
      </c>
      <c r="S17" s="20">
        <f>SUM($R$17:$R$17)</f>
        <v>-9.8314667012539765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-2.1047668860967943</v>
      </c>
      <c r="Y17" s="20">
        <f>SUM($X$17:$X$17)</f>
        <v>-2.1047668860967943</v>
      </c>
      <c r="Z17" s="20">
        <f>'TE BE'!$Z$17*'TE BE'!$Z$48</f>
        <v>-0.22207895646847603</v>
      </c>
      <c r="AA17" s="20">
        <f>SUM($Z$17:$Z$17)</f>
        <v>-0.22207895646847603</v>
      </c>
      <c r="AB17" s="20">
        <f>SUMIF($L$4:$AA$4,"SUBTOTAL",$L$17:$AA$17)</f>
        <v>-11.872529387570642</v>
      </c>
    </row>
    <row r="18" spans="1:28" ht="11.25" customHeight="1" x14ac:dyDescent="0.25">
      <c r="A18" s="112"/>
      <c r="B18" s="112"/>
      <c r="C18" s="112"/>
      <c r="D18" s="22" t="s">
        <v>31</v>
      </c>
      <c r="E18" s="22" t="s">
        <v>25</v>
      </c>
      <c r="F18" s="22" t="s">
        <v>25</v>
      </c>
      <c r="G18" s="23" t="s">
        <v>79</v>
      </c>
      <c r="H18" s="23" t="s">
        <v>73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0.28578315624860418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0.28578315624860418</v>
      </c>
      <c r="R18" s="20">
        <f>'TE BE'!$R$18*'TE BE'!$R$48</f>
        <v>-9.8314667012539765</v>
      </c>
      <c r="S18" s="20">
        <f>SUM($R$18:$R$18)</f>
        <v>-9.8314667012539765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-2.1047668860967943</v>
      </c>
      <c r="Y18" s="20">
        <f>SUM($X$18:$X$18)</f>
        <v>-2.1047668860967943</v>
      </c>
      <c r="Z18" s="20">
        <f>'TE BE'!$Z$18*'TE BE'!$Z$48</f>
        <v>-0.22207895646847603</v>
      </c>
      <c r="AA18" s="20">
        <f>SUM($Z$18:$Z$18)</f>
        <v>-0.22207895646847603</v>
      </c>
      <c r="AB18" s="20">
        <f>SUMIF($L$4:$AA$4,"SUBTOTAL",$L$18:$AA$18)</f>
        <v>-11.872529387570642</v>
      </c>
    </row>
    <row r="19" spans="1:28" ht="11.25" customHeight="1" x14ac:dyDescent="0.25">
      <c r="A19" s="112"/>
      <c r="B19" s="112"/>
      <c r="C19" s="112"/>
      <c r="D19" s="22" t="s">
        <v>32</v>
      </c>
      <c r="E19" s="22" t="s">
        <v>25</v>
      </c>
      <c r="F19" s="22" t="s">
        <v>25</v>
      </c>
      <c r="G19" s="23" t="s">
        <v>79</v>
      </c>
      <c r="H19" s="23" t="s">
        <v>73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0.28578315624860418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0.28578315624860418</v>
      </c>
      <c r="R19" s="20">
        <f>'TE BE'!$R$19*'TE BE'!$R$48</f>
        <v>-9.8314667012539765</v>
      </c>
      <c r="S19" s="20">
        <f>SUM($R$19:$R$19)</f>
        <v>-9.8314667012539765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-2.1047668860967943</v>
      </c>
      <c r="Y19" s="20">
        <f>SUM($X$19:$X$19)</f>
        <v>-2.1047668860967943</v>
      </c>
      <c r="Z19" s="20">
        <f>'TE BE'!$Z$19*'TE BE'!$Z$48</f>
        <v>-0.22207895646847603</v>
      </c>
      <c r="AA19" s="20">
        <f>SUM($Z$19:$Z$19)</f>
        <v>-0.22207895646847603</v>
      </c>
      <c r="AB19" s="20">
        <f>SUMIF($L$4:$AA$4,"SUBTOTAL",$L$19:$AA$19)</f>
        <v>-11.872529387570642</v>
      </c>
    </row>
    <row r="20" spans="1:28" ht="11.25" customHeight="1" x14ac:dyDescent="0.25">
      <c r="A20" s="112" t="s">
        <v>40</v>
      </c>
      <c r="B20" s="112" t="s">
        <v>72</v>
      </c>
      <c r="C20" s="112" t="s">
        <v>41</v>
      </c>
      <c r="D20" s="112" t="s">
        <v>25</v>
      </c>
      <c r="E20" s="112" t="s">
        <v>25</v>
      </c>
      <c r="F20" s="112" t="s">
        <v>25</v>
      </c>
      <c r="G20" s="23" t="s">
        <v>74</v>
      </c>
      <c r="H20" s="23" t="s">
        <v>73</v>
      </c>
      <c r="I20" s="23">
        <f>'MERCADO TE'!$U$17</f>
        <v>0</v>
      </c>
      <c r="J20" s="15"/>
      <c r="L20" s="20">
        <f>'TE BE'!$L$20*'TE BE'!$L$48</f>
        <v>0</v>
      </c>
      <c r="M20" s="20">
        <f>'TE BE'!$M$20*'TE BE'!$M$48</f>
        <v>0.28578315624860418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0.28578315624860418</v>
      </c>
      <c r="R20" s="20">
        <f>'TE BE'!$R$20*'TE BE'!$R$48</f>
        <v>-9.8314667012539765</v>
      </c>
      <c r="S20" s="20">
        <f>SUM($R$20:$R$20)</f>
        <v>-9.8314667012539765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-2.1047668860967943</v>
      </c>
      <c r="Y20" s="20">
        <f>SUM($X$20:$X$20)</f>
        <v>-2.1047668860967943</v>
      </c>
      <c r="Z20" s="20">
        <f>'TE BE'!$Z$20*'TE BE'!$Z$48</f>
        <v>-0.22207895646847603</v>
      </c>
      <c r="AA20" s="20">
        <f>SUM($Z$20:$Z$20)</f>
        <v>-0.22207895646847603</v>
      </c>
      <c r="AB20" s="20">
        <f>SUMIF($L$4:$AA$4,"SUBTOTAL",$L$20:$AA$20)</f>
        <v>-11.872529387570642</v>
      </c>
    </row>
    <row r="21" spans="1:28" ht="11.25" customHeight="1" x14ac:dyDescent="0.25">
      <c r="A21" s="112"/>
      <c r="B21" s="112"/>
      <c r="C21" s="112"/>
      <c r="D21" s="112"/>
      <c r="E21" s="112"/>
      <c r="F21" s="112"/>
      <c r="G21" s="23" t="s">
        <v>85</v>
      </c>
      <c r="H21" s="23" t="s">
        <v>73</v>
      </c>
      <c r="I21" s="23">
        <f>'MERCADO TE'!$U$18</f>
        <v>0</v>
      </c>
      <c r="J21" s="15"/>
      <c r="L21" s="20">
        <f>'TE BE'!$L$21*'TE BE'!$L$48</f>
        <v>0</v>
      </c>
      <c r="M21" s="20">
        <f>'TE BE'!$M$21*'TE BE'!$M$48</f>
        <v>0.28578315624860418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0.28578315624860418</v>
      </c>
      <c r="R21" s="20">
        <f>'TE BE'!$R$21*'TE BE'!$R$48</f>
        <v>-9.8314667012539765</v>
      </c>
      <c r="S21" s="20">
        <f>SUM($R$21:$R$21)</f>
        <v>-9.8314667012539765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-2.1047668860967943</v>
      </c>
      <c r="Y21" s="20">
        <f>SUM($X$21:$X$21)</f>
        <v>-2.1047668860967943</v>
      </c>
      <c r="Z21" s="20">
        <f>'TE BE'!$Z$21*'TE BE'!$Z$48</f>
        <v>-0.22207895646847603</v>
      </c>
      <c r="AA21" s="20">
        <f>SUM($Z$21:$Z$21)</f>
        <v>-0.22207895646847603</v>
      </c>
      <c r="AB21" s="20">
        <f>SUMIF($L$4:$AA$4,"SUBTOTAL",$L$21:$AA$21)</f>
        <v>-11.872529387570642</v>
      </c>
    </row>
    <row r="22" spans="1:28" ht="11.25" customHeight="1" x14ac:dyDescent="0.25">
      <c r="A22" s="112"/>
      <c r="B22" s="112"/>
      <c r="C22" s="112"/>
      <c r="D22" s="112"/>
      <c r="E22" s="112"/>
      <c r="F22" s="112"/>
      <c r="G22" s="23" t="s">
        <v>75</v>
      </c>
      <c r="H22" s="23" t="s">
        <v>73</v>
      </c>
      <c r="I22" s="23">
        <f>'MERCADO TE'!$U$19</f>
        <v>0</v>
      </c>
      <c r="J22" s="15"/>
      <c r="L22" s="20">
        <f>'TE BE'!$L$22*'TE BE'!$L$48</f>
        <v>0</v>
      </c>
      <c r="M22" s="20">
        <f>'TE BE'!$M$22*'TE BE'!$M$48</f>
        <v>0.28578315624860418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0.28578315624860418</v>
      </c>
      <c r="R22" s="20">
        <f>'TE BE'!$R$22*'TE BE'!$R$48</f>
        <v>-9.8314667012539765</v>
      </c>
      <c r="S22" s="20">
        <f>SUM($R$22:$R$22)</f>
        <v>-9.8314667012539765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-2.1047668860967943</v>
      </c>
      <c r="Y22" s="20">
        <f>SUM($X$22:$X$22)</f>
        <v>-2.1047668860967943</v>
      </c>
      <c r="Z22" s="20">
        <f>'TE BE'!$Z$22*'TE BE'!$Z$48</f>
        <v>-0.22207895646847603</v>
      </c>
      <c r="AA22" s="20">
        <f>SUM($Z$22:$Z$22)</f>
        <v>-0.22207895646847603</v>
      </c>
      <c r="AB22" s="20">
        <f>SUMIF($L$4:$AA$4,"SUBTOTAL",$L$22:$AA$22)</f>
        <v>-11.872529387570642</v>
      </c>
    </row>
    <row r="23" spans="1:28" ht="11.25" customHeight="1" x14ac:dyDescent="0.25">
      <c r="A23" s="112"/>
      <c r="B23" s="22" t="s">
        <v>86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79</v>
      </c>
      <c r="H23" s="23" t="s">
        <v>73</v>
      </c>
      <c r="I23" s="23">
        <f>'MERCADO TE'!$U$20</f>
        <v>5066.7939999999999</v>
      </c>
      <c r="J23" s="15"/>
      <c r="L23" s="20">
        <f>'TE BE'!$L$23*'TE BE'!$L$48</f>
        <v>0</v>
      </c>
      <c r="M23" s="20">
        <f>'TE BE'!$M$23*'TE BE'!$M$48</f>
        <v>0.28578315624860418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0.28578315624860418</v>
      </c>
      <c r="R23" s="20">
        <f>'TE BE'!$R$23*'TE BE'!$R$48</f>
        <v>-9.8314667012539765</v>
      </c>
      <c r="S23" s="20">
        <f>SUM($R$23:$R$23)</f>
        <v>-9.8314667012539765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-2.1047668860967943</v>
      </c>
      <c r="Y23" s="20">
        <f>SUM($X$23:$X$23)</f>
        <v>-2.1047668860967943</v>
      </c>
      <c r="Z23" s="20">
        <f>'TE BE'!$Z$23*'TE BE'!$Z$48</f>
        <v>-0.22207895646847603</v>
      </c>
      <c r="AA23" s="20">
        <f>SUM($Z$23:$Z$23)</f>
        <v>-0.22207895646847603</v>
      </c>
      <c r="AB23" s="20">
        <f>SUMIF($L$4:$AA$4,"SUBTOTAL",$L$23:$AA$23)</f>
        <v>-11.872529387570642</v>
      </c>
    </row>
    <row r="24" spans="1:28" ht="11.25" customHeight="1" x14ac:dyDescent="0.25">
      <c r="A24" s="112"/>
      <c r="B24" s="112" t="s">
        <v>72</v>
      </c>
      <c r="C24" s="112" t="s">
        <v>41</v>
      </c>
      <c r="D24" s="112" t="s">
        <v>90</v>
      </c>
      <c r="E24" s="112" t="s">
        <v>25</v>
      </c>
      <c r="F24" s="112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0.28578315624860418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0.28578315624860418</v>
      </c>
      <c r="R24" s="20">
        <f>'TE BE'!$R$24*'TE BE'!$R$48</f>
        <v>-9.8314667012539765</v>
      </c>
      <c r="S24" s="20">
        <f>SUM($R$24:$R$24)</f>
        <v>-9.8314667012539765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-2.1047668860967943</v>
      </c>
      <c r="Y24" s="20">
        <f>SUM($X$24:$X$24)</f>
        <v>-2.1047668860967943</v>
      </c>
      <c r="Z24" s="20">
        <f>'TE BE'!$Z$24*'TE BE'!$Z$48</f>
        <v>-0.22207895646847603</v>
      </c>
      <c r="AA24" s="20">
        <f>SUM($Z$24:$Z$24)</f>
        <v>-0.22207895646847603</v>
      </c>
      <c r="AB24" s="20">
        <f>SUMIF($L$4:$AA$4,"SUBTOTAL",$L$24:$AA$24)</f>
        <v>-11.872529387570642</v>
      </c>
    </row>
    <row r="25" spans="1:28" ht="11.25" customHeight="1" x14ac:dyDescent="0.25">
      <c r="A25" s="112"/>
      <c r="B25" s="112"/>
      <c r="C25" s="112"/>
      <c r="D25" s="112"/>
      <c r="E25" s="112"/>
      <c r="F25" s="112"/>
      <c r="G25" s="23" t="s">
        <v>85</v>
      </c>
      <c r="H25" s="23" t="s">
        <v>73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0.28578315624860418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0.28578315624860418</v>
      </c>
      <c r="R25" s="20">
        <f>'TE BE'!$R$25*'TE BE'!$R$48</f>
        <v>-9.8314667012539765</v>
      </c>
      <c r="S25" s="20">
        <f>SUM($R$25:$R$25)</f>
        <v>-9.8314667012539765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-2.1047668860967943</v>
      </c>
      <c r="Y25" s="20">
        <f>SUM($X$25:$X$25)</f>
        <v>-2.1047668860967943</v>
      </c>
      <c r="Z25" s="20">
        <f>'TE BE'!$Z$25*'TE BE'!$Z$48</f>
        <v>-0.22207895646847603</v>
      </c>
      <c r="AA25" s="20">
        <f>SUM($Z$25:$Z$25)</f>
        <v>-0.22207895646847603</v>
      </c>
      <c r="AB25" s="20">
        <f>SUMIF($L$4:$AA$4,"SUBTOTAL",$L$25:$AA$25)</f>
        <v>-11.872529387570642</v>
      </c>
    </row>
    <row r="26" spans="1:28" ht="11.25" customHeight="1" x14ac:dyDescent="0.25">
      <c r="A26" s="112"/>
      <c r="B26" s="112"/>
      <c r="C26" s="112"/>
      <c r="D26" s="112"/>
      <c r="E26" s="112"/>
      <c r="F26" s="112"/>
      <c r="G26" s="23" t="s">
        <v>75</v>
      </c>
      <c r="H26" s="23" t="s">
        <v>73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0.28578315624860418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0.28578315624860418</v>
      </c>
      <c r="R26" s="20">
        <f>'TE BE'!$R$26*'TE BE'!$R$48</f>
        <v>-9.8314667012539765</v>
      </c>
      <c r="S26" s="20">
        <f>SUM($R$26:$R$26)</f>
        <v>-9.8314667012539765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-2.1047668860967943</v>
      </c>
      <c r="Y26" s="20">
        <f>SUM($X$26:$X$26)</f>
        <v>-2.1047668860967943</v>
      </c>
      <c r="Z26" s="20">
        <f>'TE BE'!$Z$26*'TE BE'!$Z$48</f>
        <v>-0.22207895646847603</v>
      </c>
      <c r="AA26" s="20">
        <f>SUM($Z$26:$Z$26)</f>
        <v>-0.22207895646847603</v>
      </c>
      <c r="AB26" s="20">
        <f>SUMIF($L$4:$AA$4,"SUBTOTAL",$L$26:$AA$26)</f>
        <v>-11.872529387570642</v>
      </c>
    </row>
    <row r="27" spans="1:28" ht="11.25" customHeight="1" x14ac:dyDescent="0.25">
      <c r="A27" s="112"/>
      <c r="B27" s="22" t="s">
        <v>86</v>
      </c>
      <c r="C27" s="22" t="s">
        <v>41</v>
      </c>
      <c r="D27" s="22" t="s">
        <v>90</v>
      </c>
      <c r="E27" s="22" t="s">
        <v>25</v>
      </c>
      <c r="F27" s="22" t="s">
        <v>25</v>
      </c>
      <c r="G27" s="23" t="s">
        <v>79</v>
      </c>
      <c r="H27" s="23" t="s">
        <v>73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0.28578315624860418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0.28578315624860418</v>
      </c>
      <c r="R27" s="20">
        <f>'TE BE'!$R$27*'TE BE'!$R$48</f>
        <v>-9.8314667012539765</v>
      </c>
      <c r="S27" s="20">
        <f>SUM($R$27:$R$27)</f>
        <v>-9.8314667012539765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-2.1047668860967943</v>
      </c>
      <c r="Y27" s="20">
        <f>SUM($X$27:$X$27)</f>
        <v>-2.1047668860967943</v>
      </c>
      <c r="Z27" s="20">
        <f>'TE BE'!$Z$27*'TE BE'!$Z$48</f>
        <v>-0.22207895646847603</v>
      </c>
      <c r="AA27" s="20">
        <f>SUM($Z$27:$Z$27)</f>
        <v>-0.22207895646847603</v>
      </c>
      <c r="AB27" s="20">
        <f>SUMIF($L$4:$AA$4,"SUBTOTAL",$L$27:$AA$27)</f>
        <v>-11.872529387570642</v>
      </c>
    </row>
    <row r="28" spans="1:28" ht="11.25" customHeight="1" x14ac:dyDescent="0.25">
      <c r="A28" s="112"/>
      <c r="B28" s="112" t="s">
        <v>72</v>
      </c>
      <c r="C28" s="112" t="s">
        <v>41</v>
      </c>
      <c r="D28" s="112" t="s">
        <v>91</v>
      </c>
      <c r="E28" s="112" t="s">
        <v>25</v>
      </c>
      <c r="F28" s="112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0.28578315624860418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0.28578315624860418</v>
      </c>
      <c r="R28" s="20">
        <f>'TE BE'!$R$28*'TE BE'!$R$48</f>
        <v>-9.8314667012539765</v>
      </c>
      <c r="S28" s="20">
        <f>SUM($R$28:$R$28)</f>
        <v>-9.8314667012539765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-2.1047668860967943</v>
      </c>
      <c r="Y28" s="20">
        <f>SUM($X$28:$X$28)</f>
        <v>-2.1047668860967943</v>
      </c>
      <c r="Z28" s="20">
        <f>'TE BE'!$Z$28*'TE BE'!$Z$48</f>
        <v>-0.22207895646847603</v>
      </c>
      <c r="AA28" s="20">
        <f>SUM($Z$28:$Z$28)</f>
        <v>-0.22207895646847603</v>
      </c>
      <c r="AB28" s="20">
        <f>SUMIF($L$4:$AA$4,"SUBTOTAL",$L$28:$AA$28)</f>
        <v>-11.872529387570642</v>
      </c>
    </row>
    <row r="29" spans="1:28" ht="11.25" customHeight="1" x14ac:dyDescent="0.25">
      <c r="A29" s="112"/>
      <c r="B29" s="112"/>
      <c r="C29" s="112"/>
      <c r="D29" s="112"/>
      <c r="E29" s="112"/>
      <c r="F29" s="112"/>
      <c r="G29" s="23" t="s">
        <v>85</v>
      </c>
      <c r="H29" s="23" t="s">
        <v>73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0.28578315624860418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0.28578315624860418</v>
      </c>
      <c r="R29" s="20">
        <f>'TE BE'!$R$29*'TE BE'!$R$48</f>
        <v>-9.8314667012539765</v>
      </c>
      <c r="S29" s="20">
        <f>SUM($R$29:$R$29)</f>
        <v>-9.8314667012539765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-2.1047668860967943</v>
      </c>
      <c r="Y29" s="20">
        <f>SUM($X$29:$X$29)</f>
        <v>-2.1047668860967943</v>
      </c>
      <c r="Z29" s="20">
        <f>'TE BE'!$Z$29*'TE BE'!$Z$48</f>
        <v>-0.22207895646847603</v>
      </c>
      <c r="AA29" s="20">
        <f>SUM($Z$29:$Z$29)</f>
        <v>-0.22207895646847603</v>
      </c>
      <c r="AB29" s="20">
        <f>SUMIF($L$4:$AA$4,"SUBTOTAL",$L$29:$AA$29)</f>
        <v>-11.872529387570642</v>
      </c>
    </row>
    <row r="30" spans="1:28" ht="11.25" customHeight="1" x14ac:dyDescent="0.25">
      <c r="A30" s="112"/>
      <c r="B30" s="112"/>
      <c r="C30" s="112"/>
      <c r="D30" s="112"/>
      <c r="E30" s="112"/>
      <c r="F30" s="112"/>
      <c r="G30" s="23" t="s">
        <v>75</v>
      </c>
      <c r="H30" s="23" t="s">
        <v>73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0.28578315624860418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0.28578315624860418</v>
      </c>
      <c r="R30" s="20">
        <f>'TE BE'!$R$30*'TE BE'!$R$48</f>
        <v>-9.8314667012539765</v>
      </c>
      <c r="S30" s="20">
        <f>SUM($R$30:$R$30)</f>
        <v>-9.8314667012539765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-2.1047668860967943</v>
      </c>
      <c r="Y30" s="20">
        <f>SUM($X$30:$X$30)</f>
        <v>-2.1047668860967943</v>
      </c>
      <c r="Z30" s="20">
        <f>'TE BE'!$Z$30*'TE BE'!$Z$48</f>
        <v>-0.22207895646847603</v>
      </c>
      <c r="AA30" s="20">
        <f>SUM($Z$30:$Z$30)</f>
        <v>-0.22207895646847603</v>
      </c>
      <c r="AB30" s="20">
        <f>SUMIF($L$4:$AA$4,"SUBTOTAL",$L$30:$AA$30)</f>
        <v>-11.872529387570642</v>
      </c>
    </row>
    <row r="31" spans="1:28" ht="11.25" customHeight="1" x14ac:dyDescent="0.25">
      <c r="A31" s="112"/>
      <c r="B31" s="22" t="s">
        <v>86</v>
      </c>
      <c r="C31" s="22" t="s">
        <v>41</v>
      </c>
      <c r="D31" s="22" t="s">
        <v>91</v>
      </c>
      <c r="E31" s="22" t="s">
        <v>25</v>
      </c>
      <c r="F31" s="22" t="s">
        <v>25</v>
      </c>
      <c r="G31" s="23" t="s">
        <v>79</v>
      </c>
      <c r="H31" s="23" t="s">
        <v>73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0.28578315624860418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0.28578315624860418</v>
      </c>
      <c r="R31" s="20">
        <f>'TE BE'!$R$31*'TE BE'!$R$48</f>
        <v>-9.8314667012539765</v>
      </c>
      <c r="S31" s="20">
        <f>SUM($R$31:$R$31)</f>
        <v>-9.8314667012539765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-2.1047668860967943</v>
      </c>
      <c r="Y31" s="20">
        <f>SUM($X$31:$X$31)</f>
        <v>-2.1047668860967943</v>
      </c>
      <c r="Z31" s="20">
        <f>'TE BE'!$Z$31*'TE BE'!$Z$48</f>
        <v>-0.22207895646847603</v>
      </c>
      <c r="AA31" s="20">
        <f>SUM($Z$31:$Z$31)</f>
        <v>-0.22207895646847603</v>
      </c>
      <c r="AB31" s="20">
        <f>SUMIF($L$4:$AA$4,"SUBTOTAL",$L$31:$AA$31)</f>
        <v>-11.872529387570642</v>
      </c>
    </row>
    <row r="32" spans="1:28" ht="11.25" customHeight="1" x14ac:dyDescent="0.25">
      <c r="A32" s="112"/>
      <c r="B32" s="112" t="s">
        <v>88</v>
      </c>
      <c r="C32" s="112" t="s">
        <v>41</v>
      </c>
      <c r="D32" s="22" t="s">
        <v>25</v>
      </c>
      <c r="E32" s="22" t="s">
        <v>25</v>
      </c>
      <c r="F32" s="22" t="s">
        <v>25</v>
      </c>
      <c r="G32" s="23" t="s">
        <v>79</v>
      </c>
      <c r="H32" s="23" t="s">
        <v>73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0.28578315624860418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0.28578315624860418</v>
      </c>
      <c r="R32" s="20">
        <f>'TE BE'!$R$32*'TE BE'!$R$48</f>
        <v>-9.8314667012539765</v>
      </c>
      <c r="S32" s="20">
        <f>SUM($R$32:$R$32)</f>
        <v>-9.8314667012539765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-2.1047668860967943</v>
      </c>
      <c r="Y32" s="20">
        <f>SUM($X$32:$X$32)</f>
        <v>-2.1047668860967943</v>
      </c>
      <c r="Z32" s="20">
        <f>'TE BE'!$Z$32*'TE BE'!$Z$48</f>
        <v>-0.22207895646847603</v>
      </c>
      <c r="AA32" s="20">
        <f>SUM($Z$32:$Z$32)</f>
        <v>-0.22207895646847603</v>
      </c>
      <c r="AB32" s="20">
        <f>SUMIF($L$4:$AA$4,"SUBTOTAL",$L$32:$AA$32)</f>
        <v>-11.872529387570642</v>
      </c>
    </row>
    <row r="33" spans="1:28" ht="11.25" customHeight="1" x14ac:dyDescent="0.25">
      <c r="A33" s="112"/>
      <c r="B33" s="112"/>
      <c r="C33" s="112"/>
      <c r="D33" s="22" t="s">
        <v>90</v>
      </c>
      <c r="E33" s="22" t="s">
        <v>25</v>
      </c>
      <c r="F33" s="22" t="s">
        <v>25</v>
      </c>
      <c r="G33" s="23" t="s">
        <v>79</v>
      </c>
      <c r="H33" s="23" t="s">
        <v>73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0.28578315624860418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0.28578315624860418</v>
      </c>
      <c r="R33" s="20">
        <f>'TE BE'!$R$33*'TE BE'!$R$48</f>
        <v>-9.8314667012539765</v>
      </c>
      <c r="S33" s="20">
        <f>SUM($R$33:$R$33)</f>
        <v>-9.8314667012539765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-2.1047668860967943</v>
      </c>
      <c r="Y33" s="20">
        <f>SUM($X$33:$X$33)</f>
        <v>-2.1047668860967943</v>
      </c>
      <c r="Z33" s="20">
        <f>'TE BE'!$Z$33*'TE BE'!$Z$48</f>
        <v>-0.22207895646847603</v>
      </c>
      <c r="AA33" s="20">
        <f>SUM($Z$33:$Z$33)</f>
        <v>-0.22207895646847603</v>
      </c>
      <c r="AB33" s="20">
        <f>SUMIF($L$4:$AA$4,"SUBTOTAL",$L$33:$AA$33)</f>
        <v>-11.872529387570642</v>
      </c>
    </row>
    <row r="34" spans="1:28" ht="11.25" customHeight="1" x14ac:dyDescent="0.25">
      <c r="A34" s="112"/>
      <c r="B34" s="112"/>
      <c r="C34" s="112"/>
      <c r="D34" s="22" t="s">
        <v>91</v>
      </c>
      <c r="E34" s="22" t="s">
        <v>25</v>
      </c>
      <c r="F34" s="22" t="s">
        <v>25</v>
      </c>
      <c r="G34" s="23" t="s">
        <v>79</v>
      </c>
      <c r="H34" s="23" t="s">
        <v>73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0.28578315624860418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0.28578315624860418</v>
      </c>
      <c r="R34" s="20">
        <f>'TE BE'!$R$34*'TE BE'!$R$48</f>
        <v>-9.8314667012539765</v>
      </c>
      <c r="S34" s="20">
        <f>SUM($R$34:$R$34)</f>
        <v>-9.8314667012539765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-2.1047668860967943</v>
      </c>
      <c r="Y34" s="20">
        <f>SUM($X$34:$X$34)</f>
        <v>-2.1047668860967943</v>
      </c>
      <c r="Z34" s="20">
        <f>'TE BE'!$Z$34*'TE BE'!$Z$48</f>
        <v>-0.22207895646847603</v>
      </c>
      <c r="AA34" s="20">
        <f>SUM($Z$34:$Z$34)</f>
        <v>-0.22207895646847603</v>
      </c>
      <c r="AB34" s="20">
        <f>SUMIF($L$4:$AA$4,"SUBTOTAL",$L$34:$AA$34)</f>
        <v>-11.872529387570642</v>
      </c>
    </row>
    <row r="35" spans="1:28" ht="11.25" customHeight="1" x14ac:dyDescent="0.25">
      <c r="A35" s="112" t="s">
        <v>33</v>
      </c>
      <c r="B35" s="112" t="s">
        <v>72</v>
      </c>
      <c r="C35" s="112" t="s">
        <v>25</v>
      </c>
      <c r="D35" s="112" t="s">
        <v>25</v>
      </c>
      <c r="E35" s="112" t="s">
        <v>25</v>
      </c>
      <c r="F35" s="112" t="s">
        <v>25</v>
      </c>
      <c r="G35" s="23" t="s">
        <v>74</v>
      </c>
      <c r="H35" s="23" t="s">
        <v>73</v>
      </c>
      <c r="I35" s="23">
        <f>'MERCADO TE'!$U$32</f>
        <v>0</v>
      </c>
      <c r="J35" s="15"/>
      <c r="L35" s="20">
        <f>'TE BE'!$L$35*'TE BE'!$L$48</f>
        <v>0</v>
      </c>
      <c r="M35" s="20">
        <f>'TE BE'!$M$35*'TE BE'!$M$48</f>
        <v>0.28578315624860418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0.28578315624860418</v>
      </c>
      <c r="R35" s="20">
        <f>'TE BE'!$R$35*'TE BE'!$R$48</f>
        <v>-9.8314667012539765</v>
      </c>
      <c r="S35" s="20">
        <f>SUM($R$35:$R$35)</f>
        <v>-9.8314667012539765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-2.1047668860967943</v>
      </c>
      <c r="Y35" s="20">
        <f>SUM($X$35:$X$35)</f>
        <v>-2.1047668860967943</v>
      </c>
      <c r="Z35" s="20">
        <f>'TE BE'!$Z$35*'TE BE'!$Z$48</f>
        <v>-0.22207895646847603</v>
      </c>
      <c r="AA35" s="20">
        <f>SUM($Z$35:$Z$35)</f>
        <v>-0.22207895646847603</v>
      </c>
      <c r="AB35" s="20">
        <f>SUMIF($L$4:$AA$4,"SUBTOTAL",$L$35:$AA$35)</f>
        <v>-11.872529387570642</v>
      </c>
    </row>
    <row r="36" spans="1:28" ht="11.25" customHeight="1" x14ac:dyDescent="0.25">
      <c r="A36" s="112"/>
      <c r="B36" s="112"/>
      <c r="C36" s="112"/>
      <c r="D36" s="112"/>
      <c r="E36" s="112"/>
      <c r="F36" s="112"/>
      <c r="G36" s="23" t="s">
        <v>85</v>
      </c>
      <c r="H36" s="23" t="s">
        <v>73</v>
      </c>
      <c r="I36" s="23">
        <f>'MERCADO TE'!$U$33</f>
        <v>0</v>
      </c>
      <c r="J36" s="15"/>
      <c r="L36" s="20">
        <f>'TE BE'!$L$36*'TE BE'!$L$48</f>
        <v>0</v>
      </c>
      <c r="M36" s="20">
        <f>'TE BE'!$M$36*'TE BE'!$M$48</f>
        <v>0.28578315624860418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0.28578315624860418</v>
      </c>
      <c r="R36" s="20">
        <f>'TE BE'!$R$36*'TE BE'!$R$48</f>
        <v>-9.8314667012539765</v>
      </c>
      <c r="S36" s="20">
        <f>SUM($R$36:$R$36)</f>
        <v>-9.8314667012539765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-2.1047668860967943</v>
      </c>
      <c r="Y36" s="20">
        <f>SUM($X$36:$X$36)</f>
        <v>-2.1047668860967943</v>
      </c>
      <c r="Z36" s="20">
        <f>'TE BE'!$Z$36*'TE BE'!$Z$48</f>
        <v>-0.22207895646847603</v>
      </c>
      <c r="AA36" s="20">
        <f>SUM($Z$36:$Z$36)</f>
        <v>-0.22207895646847603</v>
      </c>
      <c r="AB36" s="20">
        <f>SUMIF($L$4:$AA$4,"SUBTOTAL",$L$36:$AA$36)</f>
        <v>-11.872529387570642</v>
      </c>
    </row>
    <row r="37" spans="1:28" ht="11.25" customHeight="1" x14ac:dyDescent="0.25">
      <c r="A37" s="112"/>
      <c r="B37" s="112"/>
      <c r="C37" s="112"/>
      <c r="D37" s="112"/>
      <c r="E37" s="112"/>
      <c r="F37" s="112"/>
      <c r="G37" s="23" t="s">
        <v>75</v>
      </c>
      <c r="H37" s="23" t="s">
        <v>73</v>
      </c>
      <c r="I37" s="23">
        <f>'MERCADO TE'!$U$34</f>
        <v>0</v>
      </c>
      <c r="J37" s="15"/>
      <c r="L37" s="20">
        <f>'TE BE'!$L$37*'TE BE'!$L$48</f>
        <v>0</v>
      </c>
      <c r="M37" s="20">
        <f>'TE BE'!$M$37*'TE BE'!$M$48</f>
        <v>0.28578315624860418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0.28578315624860418</v>
      </c>
      <c r="R37" s="20">
        <f>'TE BE'!$R$37*'TE BE'!$R$48</f>
        <v>-9.8314667012539765</v>
      </c>
      <c r="S37" s="20">
        <f>SUM($R$37:$R$37)</f>
        <v>-9.8314667012539765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-2.1047668860967943</v>
      </c>
      <c r="Y37" s="20">
        <f>SUM($X$37:$X$37)</f>
        <v>-2.1047668860967943</v>
      </c>
      <c r="Z37" s="20">
        <f>'TE BE'!$Z$37*'TE BE'!$Z$48</f>
        <v>-0.22207895646847603</v>
      </c>
      <c r="AA37" s="20">
        <f>SUM($Z$37:$Z$37)</f>
        <v>-0.22207895646847603</v>
      </c>
      <c r="AB37" s="20">
        <f>SUMIF($L$4:$AA$4,"SUBTOTAL",$L$37:$AA$37)</f>
        <v>-11.872529387570642</v>
      </c>
    </row>
    <row r="38" spans="1:28" ht="11.25" customHeight="1" x14ac:dyDescent="0.25">
      <c r="A38" s="112"/>
      <c r="B38" s="22" t="s">
        <v>86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79</v>
      </c>
      <c r="H38" s="23" t="s">
        <v>73</v>
      </c>
      <c r="I38" s="23">
        <f>'MERCADO TE'!$U$35</f>
        <v>2202.5430000000001</v>
      </c>
      <c r="J38" s="15"/>
      <c r="L38" s="20">
        <f>'TE BE'!$L$38*'TE BE'!$L$48</f>
        <v>0</v>
      </c>
      <c r="M38" s="20">
        <f>'TE BE'!$M$38*'TE BE'!$M$48</f>
        <v>0.28578315624860418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0.28578315624860418</v>
      </c>
      <c r="R38" s="20">
        <f>'TE BE'!$R$38*'TE BE'!$R$48</f>
        <v>-9.8314667012539765</v>
      </c>
      <c r="S38" s="20">
        <f>SUM($R$38:$R$38)</f>
        <v>-9.8314667012539765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-2.1047668860967943</v>
      </c>
      <c r="Y38" s="20">
        <f>SUM($X$38:$X$38)</f>
        <v>-2.1047668860967943</v>
      </c>
      <c r="Z38" s="20">
        <f>'TE BE'!$Z$38*'TE BE'!$Z$48</f>
        <v>-0.22207895646847603</v>
      </c>
      <c r="AA38" s="20">
        <f>SUM($Z$38:$Z$38)</f>
        <v>-0.22207895646847603</v>
      </c>
      <c r="AB38" s="20">
        <f>SUMIF($L$4:$AA$4,"SUBTOTAL",$L$38:$AA$38)</f>
        <v>-11.872529387570642</v>
      </c>
    </row>
    <row r="39" spans="1:28" ht="11.25" customHeight="1" x14ac:dyDescent="0.25">
      <c r="A39" s="112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79</v>
      </c>
      <c r="H39" s="23" t="s">
        <v>73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0.28578315624860418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0.28578315624860418</v>
      </c>
      <c r="R39" s="20">
        <f>'TE BE'!$R$39*'TE BE'!$R$48</f>
        <v>-9.8314667012539765</v>
      </c>
      <c r="S39" s="20">
        <f>SUM($R$39:$R$39)</f>
        <v>-9.8314667012539765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-2.1047668860967943</v>
      </c>
      <c r="Y39" s="20">
        <f>SUM($X$39:$X$39)</f>
        <v>-2.1047668860967943</v>
      </c>
      <c r="Z39" s="20">
        <f>'TE BE'!$Z$39*'TE BE'!$Z$48</f>
        <v>-0.22207895646847603</v>
      </c>
      <c r="AA39" s="20">
        <f>SUM($Z$39:$Z$39)</f>
        <v>-0.22207895646847603</v>
      </c>
      <c r="AB39" s="20">
        <f>SUMIF($L$4:$AA$4,"SUBTOTAL",$L$39:$AA$39)</f>
        <v>-11.872529387570642</v>
      </c>
    </row>
    <row r="40" spans="1:28" ht="11.25" customHeight="1" x14ac:dyDescent="0.25">
      <c r="A40" s="112" t="s">
        <v>43</v>
      </c>
      <c r="B40" s="112" t="s">
        <v>86</v>
      </c>
      <c r="C40" s="112" t="s">
        <v>44</v>
      </c>
      <c r="D40" s="22" t="s">
        <v>45</v>
      </c>
      <c r="E40" s="22" t="s">
        <v>25</v>
      </c>
      <c r="F40" s="22" t="s">
        <v>25</v>
      </c>
      <c r="G40" s="23" t="s">
        <v>79</v>
      </c>
      <c r="H40" s="23" t="s">
        <v>73</v>
      </c>
      <c r="I40" s="23">
        <f>'MERCADO TE'!$U$37</f>
        <v>786.13800000000003</v>
      </c>
      <c r="J40" s="15"/>
      <c r="L40" s="20">
        <f>'TE BE'!$L$40*'TE BE'!$L$48</f>
        <v>0</v>
      </c>
      <c r="M40" s="20">
        <f>'TE BE'!$M$40*'TE BE'!$M$48</f>
        <v>0.15718073593673232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0.15718073593673232</v>
      </c>
      <c r="R40" s="20">
        <f>'TE BE'!$R$40*'TE BE'!$R$48</f>
        <v>-5.4073066856896874</v>
      </c>
      <c r="S40" s="20">
        <f>SUM($R$40:$R$40)</f>
        <v>-5.4073066856896874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-1.1576217873532368</v>
      </c>
      <c r="Y40" s="20">
        <f>SUM($X$40:$X$40)</f>
        <v>-1.1576217873532368</v>
      </c>
      <c r="Z40" s="20">
        <f>'TE BE'!$Z$40*'TE BE'!$Z$48</f>
        <v>-0.12214342605766182</v>
      </c>
      <c r="AA40" s="20">
        <f>SUM($Z$40:$Z$40)</f>
        <v>-0.12214342605766182</v>
      </c>
      <c r="AB40" s="20">
        <f>SUMIF($L$4:$AA$4,"SUBTOTAL",$L$40:$AA$40)</f>
        <v>-6.5298911631638532</v>
      </c>
    </row>
    <row r="41" spans="1:28" ht="11.25" customHeight="1" x14ac:dyDescent="0.25">
      <c r="A41" s="112"/>
      <c r="B41" s="112"/>
      <c r="C41" s="112"/>
      <c r="D41" s="23" t="s">
        <v>46</v>
      </c>
      <c r="E41" s="23" t="s">
        <v>25</v>
      </c>
      <c r="F41" s="23" t="s">
        <v>25</v>
      </c>
      <c r="G41" s="23" t="s">
        <v>79</v>
      </c>
      <c r="H41" s="23" t="s">
        <v>73</v>
      </c>
      <c r="I41" s="23">
        <f>'MERCADO TE'!$U$38</f>
        <v>25.399000000000001</v>
      </c>
      <c r="J41" s="15"/>
      <c r="L41" s="20">
        <f>'TE BE'!$L$41*'TE BE'!$L$48</f>
        <v>0</v>
      </c>
      <c r="M41" s="20">
        <f>'TE BE'!$M$41*'TE BE'!$M$48</f>
        <v>0.17146989374916249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0.17146989374916249</v>
      </c>
      <c r="R41" s="20">
        <f>'TE BE'!$R$41*'TE BE'!$R$48</f>
        <v>-5.8988800207523857</v>
      </c>
      <c r="S41" s="20">
        <f>SUM($R$41:$R$41)</f>
        <v>-5.8988800207523857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-1.2628601316580763</v>
      </c>
      <c r="Y41" s="20">
        <f>SUM($X$41:$X$41)</f>
        <v>-1.2628601316580763</v>
      </c>
      <c r="Z41" s="20">
        <f>'TE BE'!$Z$41*'TE BE'!$Z$48</f>
        <v>-0.13324737388108562</v>
      </c>
      <c r="AA41" s="20">
        <f>SUM($Z$41:$Z$41)</f>
        <v>-0.13324737388108562</v>
      </c>
      <c r="AB41" s="20">
        <f>SUMIF($L$4:$AA$4,"SUBTOTAL",$L$41:$AA$41)</f>
        <v>-7.1235176325423852</v>
      </c>
    </row>
    <row r="43" spans="1:28" ht="11.25" customHeight="1" x14ac:dyDescent="0.25">
      <c r="K43" s="25" t="s">
        <v>534</v>
      </c>
      <c r="L43" s="20">
        <f t="shared" ref="L43:AB43" si="0">SUMPRODUCT($I$5:$I$41,L$5:L$41)</f>
        <v>0</v>
      </c>
      <c r="M43" s="20">
        <f t="shared" si="0"/>
        <v>8837.6698649977188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8837.6698649977188</v>
      </c>
      <c r="R43" s="20">
        <f t="shared" si="0"/>
        <v>-304032.11349103146</v>
      </c>
      <c r="S43" s="20">
        <f t="shared" si="0"/>
        <v>-304032.11349103146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-65088.632676172907</v>
      </c>
      <c r="Y43" s="20">
        <f t="shared" si="0"/>
        <v>-65088.632676172907</v>
      </c>
      <c r="Z43" s="20">
        <f t="shared" si="0"/>
        <v>-6867.6563272478616</v>
      </c>
      <c r="AA43" s="20">
        <f t="shared" si="0"/>
        <v>-6867.6563272478616</v>
      </c>
      <c r="AB43" s="20">
        <f t="shared" si="0"/>
        <v>-367150.73262945452</v>
      </c>
    </row>
    <row r="44" spans="1:28" ht="11.25" customHeight="1" x14ac:dyDescent="0.25">
      <c r="K44" s="25" t="s">
        <v>453</v>
      </c>
      <c r="L44" s="20">
        <f>CUSTOS!$D$30</f>
        <v>0</v>
      </c>
      <c r="M44" s="20">
        <f>CUSTOS!$D$31</f>
        <v>755462.82000000007</v>
      </c>
      <c r="N44" s="20">
        <f>CUSTOS!$D$32</f>
        <v>0</v>
      </c>
      <c r="O44" s="20">
        <f>CUSTOS!$D$33</f>
        <v>0</v>
      </c>
      <c r="P44" s="20">
        <f>CUSTOS!$D$34</f>
        <v>-585451.85</v>
      </c>
      <c r="Q44" s="20">
        <f>CUSTOS!$D$35</f>
        <v>170010.97000000009</v>
      </c>
      <c r="R44" s="20">
        <f>CUSTOS!$D$36</f>
        <v>5800148.5248689074</v>
      </c>
      <c r="S44" s="20">
        <f>CUSTOS!$D$37</f>
        <v>5800148.5248689074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131017.16874052629</v>
      </c>
      <c r="AA44" s="20">
        <f>CUSTOS!$D$45</f>
        <v>131017.16874052629</v>
      </c>
      <c r="AB44" s="20">
        <f>CUSTOS!$D$46</f>
        <v>6101176.663609433</v>
      </c>
    </row>
    <row r="45" spans="1:28" ht="11.25" customHeight="1" x14ac:dyDescent="0.25">
      <c r="K45" s="25" t="s">
        <v>454</v>
      </c>
      <c r="L45" s="20">
        <f>CUSTOS!$E$30</f>
        <v>0</v>
      </c>
      <c r="M45" s="20">
        <f>CUSTOS!$E$31</f>
        <v>8837.6698649977188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8837.6698649977188</v>
      </c>
      <c r="R45" s="20">
        <f>CUSTOS!$E$36</f>
        <v>-304032.1134910314</v>
      </c>
      <c r="S45" s="20">
        <f>CUSTOS!$E$37</f>
        <v>-304032.1134910314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-65088.632676172878</v>
      </c>
      <c r="Y45" s="20">
        <f>CUSTOS!$E$43</f>
        <v>-65088.632676172878</v>
      </c>
      <c r="Z45" s="20">
        <f>CUSTOS!$E$44</f>
        <v>-6867.6563272478616</v>
      </c>
      <c r="AA45" s="20">
        <f>CUSTOS!$E$45</f>
        <v>-6867.6563272478616</v>
      </c>
      <c r="AB45" s="20">
        <f>CUSTOS!$E$46</f>
        <v>-367150.7326294544</v>
      </c>
    </row>
    <row r="46" spans="1:28" ht="11.25" customHeight="1" x14ac:dyDescent="0.25">
      <c r="K46" s="25" t="s">
        <v>455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535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530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86" priority="33" operator="notEqual">
      <formula>$L$45</formula>
    </cfRule>
    <cfRule type="cellIs" dxfId="785" priority="34" operator="equal">
      <formula>$L$45</formula>
    </cfRule>
  </conditionalFormatting>
  <conditionalFormatting sqref="M43">
    <cfRule type="cellIs" dxfId="784" priority="31" operator="notEqual">
      <formula>$M$45</formula>
    </cfRule>
    <cfRule type="cellIs" dxfId="783" priority="32" operator="equal">
      <formula>$M$45</formula>
    </cfRule>
  </conditionalFormatting>
  <conditionalFormatting sqref="N43">
    <cfRule type="cellIs" dxfId="782" priority="29" operator="notEqual">
      <formula>$N$45</formula>
    </cfRule>
    <cfRule type="cellIs" dxfId="781" priority="30" operator="equal">
      <formula>$N$45</formula>
    </cfRule>
  </conditionalFormatting>
  <conditionalFormatting sqref="O43">
    <cfRule type="cellIs" dxfId="780" priority="27" operator="notEqual">
      <formula>$O$45</formula>
    </cfRule>
    <cfRule type="cellIs" dxfId="779" priority="28" operator="equal">
      <formula>$O$45</formula>
    </cfRule>
  </conditionalFormatting>
  <conditionalFormatting sqref="P43">
    <cfRule type="cellIs" dxfId="778" priority="25" operator="notEqual">
      <formula>$P$45</formula>
    </cfRule>
    <cfRule type="cellIs" dxfId="777" priority="26" operator="equal">
      <formula>$P$45</formula>
    </cfRule>
  </conditionalFormatting>
  <conditionalFormatting sqref="Q43">
    <cfRule type="cellIs" dxfId="776" priority="23" operator="notEqual">
      <formula>$Q$45</formula>
    </cfRule>
    <cfRule type="cellIs" dxfId="775" priority="24" operator="equal">
      <formula>$Q$45</formula>
    </cfRule>
  </conditionalFormatting>
  <conditionalFormatting sqref="R43">
    <cfRule type="cellIs" dxfId="774" priority="21" operator="notEqual">
      <formula>$R$45</formula>
    </cfRule>
    <cfRule type="cellIs" dxfId="773" priority="22" operator="equal">
      <formula>$R$45</formula>
    </cfRule>
  </conditionalFormatting>
  <conditionalFormatting sqref="S43">
    <cfRule type="cellIs" dxfId="772" priority="19" operator="notEqual">
      <formula>$S$45</formula>
    </cfRule>
    <cfRule type="cellIs" dxfId="771" priority="20" operator="equal">
      <formula>$S$45</formula>
    </cfRule>
  </conditionalFormatting>
  <conditionalFormatting sqref="T43">
    <cfRule type="cellIs" dxfId="770" priority="17" operator="notEqual">
      <formula>$T$45</formula>
    </cfRule>
    <cfRule type="cellIs" dxfId="769" priority="18" operator="equal">
      <formula>$T$45</formula>
    </cfRule>
  </conditionalFormatting>
  <conditionalFormatting sqref="U43">
    <cfRule type="cellIs" dxfId="768" priority="15" operator="notEqual">
      <formula>$U$45</formula>
    </cfRule>
    <cfRule type="cellIs" dxfId="767" priority="16" operator="equal">
      <formula>$U$45</formula>
    </cfRule>
  </conditionalFormatting>
  <conditionalFormatting sqref="V43">
    <cfRule type="cellIs" dxfId="766" priority="13" operator="notEqual">
      <formula>$V$45</formula>
    </cfRule>
    <cfRule type="cellIs" dxfId="765" priority="14" operator="equal">
      <formula>$V$45</formula>
    </cfRule>
  </conditionalFormatting>
  <conditionalFormatting sqref="W43">
    <cfRule type="cellIs" dxfId="764" priority="11" operator="notEqual">
      <formula>$W$45</formula>
    </cfRule>
    <cfRule type="cellIs" dxfId="763" priority="12" operator="equal">
      <formula>$W$45</formula>
    </cfRule>
  </conditionalFormatting>
  <conditionalFormatting sqref="X43">
    <cfRule type="cellIs" dxfId="762" priority="9" operator="notEqual">
      <formula>$X$45</formula>
    </cfRule>
    <cfRule type="cellIs" dxfId="761" priority="10" operator="equal">
      <formula>$X$45</formula>
    </cfRule>
  </conditionalFormatting>
  <conditionalFormatting sqref="Y43">
    <cfRule type="cellIs" dxfId="760" priority="7" operator="notEqual">
      <formula>$Y$45</formula>
    </cfRule>
    <cfRule type="cellIs" dxfId="759" priority="8" operator="equal">
      <formula>$Y$45</formula>
    </cfRule>
  </conditionalFormatting>
  <conditionalFormatting sqref="Z43">
    <cfRule type="cellIs" dxfId="758" priority="5" operator="notEqual">
      <formula>$Z$45</formula>
    </cfRule>
    <cfRule type="cellIs" dxfId="757" priority="6" operator="equal">
      <formula>$Z$45</formula>
    </cfRule>
  </conditionalFormatting>
  <conditionalFormatting sqref="AA43">
    <cfRule type="cellIs" dxfId="756" priority="3" operator="notEqual">
      <formula>$AA$45</formula>
    </cfRule>
    <cfRule type="cellIs" dxfId="755" priority="4" operator="equal">
      <formula>$AA$45</formula>
    </cfRule>
  </conditionalFormatting>
  <conditionalFormatting sqref="AB43">
    <cfRule type="cellIs" dxfId="754" priority="1" operator="notEqual">
      <formula>$AB$45</formula>
    </cfRule>
    <cfRule type="cellIs" dxfId="75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DECD-24A7-44B5-96E0-372B4FEE5199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8.7109375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1" t="s">
        <v>63</v>
      </c>
      <c r="B1" s="111" t="s">
        <v>64</v>
      </c>
      <c r="C1" s="111" t="s">
        <v>65</v>
      </c>
      <c r="D1" s="111" t="s">
        <v>66</v>
      </c>
      <c r="E1" s="111" t="s">
        <v>67</v>
      </c>
      <c r="F1" s="111" t="s">
        <v>15</v>
      </c>
      <c r="G1" s="111" t="s">
        <v>69</v>
      </c>
      <c r="H1" s="111" t="s">
        <v>70</v>
      </c>
      <c r="I1" s="111" t="s">
        <v>512</v>
      </c>
      <c r="J1" s="95"/>
      <c r="L1" s="109" t="s">
        <v>540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</row>
    <row r="2" spans="1:28" ht="11.25" customHeigh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95"/>
      <c r="L2" s="109" t="s">
        <v>439</v>
      </c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</row>
    <row r="3" spans="1:28" ht="11.25" customHeight="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95"/>
      <c r="L3" s="109" t="s">
        <v>412</v>
      </c>
      <c r="M3" s="109"/>
      <c r="N3" s="109"/>
      <c r="O3" s="109"/>
      <c r="P3" s="109"/>
      <c r="Q3" s="109"/>
      <c r="R3" s="109" t="s">
        <v>443</v>
      </c>
      <c r="S3" s="109"/>
      <c r="T3" s="109" t="s">
        <v>421</v>
      </c>
      <c r="U3" s="109"/>
      <c r="V3" s="109"/>
      <c r="W3" s="109"/>
      <c r="X3" s="109" t="s">
        <v>431</v>
      </c>
      <c r="Y3" s="109"/>
      <c r="Z3" s="109" t="s">
        <v>434</v>
      </c>
      <c r="AA3" s="109"/>
      <c r="AB3" s="109" t="s">
        <v>420</v>
      </c>
    </row>
    <row r="4" spans="1:28" ht="11.25" customHeight="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95"/>
      <c r="L4" s="24" t="s">
        <v>414</v>
      </c>
      <c r="M4" s="24" t="s">
        <v>440</v>
      </c>
      <c r="N4" s="24" t="s">
        <v>441</v>
      </c>
      <c r="O4" s="24" t="s">
        <v>500</v>
      </c>
      <c r="P4" s="24" t="s">
        <v>442</v>
      </c>
      <c r="Q4" s="24" t="s">
        <v>420</v>
      </c>
      <c r="R4" s="24" t="s">
        <v>444</v>
      </c>
      <c r="S4" s="24" t="s">
        <v>420</v>
      </c>
      <c r="T4" s="24" t="s">
        <v>445</v>
      </c>
      <c r="U4" s="24" t="s">
        <v>446</v>
      </c>
      <c r="V4" s="24" t="s">
        <v>447</v>
      </c>
      <c r="W4" s="24" t="s">
        <v>420</v>
      </c>
      <c r="X4" s="24" t="s">
        <v>432</v>
      </c>
      <c r="Y4" s="24" t="s">
        <v>420</v>
      </c>
      <c r="Z4" s="24" t="s">
        <v>448</v>
      </c>
      <c r="AA4" s="24" t="s">
        <v>420</v>
      </c>
      <c r="AB4" s="110"/>
    </row>
    <row r="5" spans="1:28" ht="11.25" customHeight="1" x14ac:dyDescent="0.25">
      <c r="A5" s="112" t="s">
        <v>35</v>
      </c>
      <c r="B5" s="112" t="s">
        <v>72</v>
      </c>
      <c r="C5" s="112" t="s">
        <v>25</v>
      </c>
      <c r="D5" s="112" t="s">
        <v>25</v>
      </c>
      <c r="E5" s="112" t="s">
        <v>25</v>
      </c>
      <c r="F5" s="112" t="s">
        <v>25</v>
      </c>
      <c r="G5" s="23" t="s">
        <v>74</v>
      </c>
      <c r="H5" s="23" t="s">
        <v>73</v>
      </c>
      <c r="I5" s="23">
        <f>'MERCADO TE'!$U$2</f>
        <v>397.35799999999995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112"/>
      <c r="B6" s="112"/>
      <c r="C6" s="112"/>
      <c r="D6" s="112"/>
      <c r="E6" s="112"/>
      <c r="F6" s="112"/>
      <c r="G6" s="23" t="s">
        <v>75</v>
      </c>
      <c r="H6" s="23" t="s">
        <v>73</v>
      </c>
      <c r="I6" s="23">
        <f>'MERCADO TE'!$U$3</f>
        <v>15580.922999999999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112" t="s">
        <v>22</v>
      </c>
      <c r="B7" s="112" t="s">
        <v>72</v>
      </c>
      <c r="C7" s="112" t="s">
        <v>24</v>
      </c>
      <c r="D7" s="112" t="s">
        <v>24</v>
      </c>
      <c r="E7" s="112" t="s">
        <v>25</v>
      </c>
      <c r="F7" s="112" t="s">
        <v>25</v>
      </c>
      <c r="G7" s="23" t="s">
        <v>74</v>
      </c>
      <c r="H7" s="23" t="s">
        <v>73</v>
      </c>
      <c r="I7" s="23">
        <f>'MERCADO TE'!$U$4</f>
        <v>0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112"/>
      <c r="B8" s="112"/>
      <c r="C8" s="112"/>
      <c r="D8" s="112"/>
      <c r="E8" s="112"/>
      <c r="F8" s="112"/>
      <c r="G8" s="23" t="s">
        <v>85</v>
      </c>
      <c r="H8" s="23" t="s">
        <v>73</v>
      </c>
      <c r="I8" s="23">
        <f>'MERCADO TE'!$U$5</f>
        <v>0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112"/>
      <c r="B9" s="112"/>
      <c r="C9" s="112"/>
      <c r="D9" s="112"/>
      <c r="E9" s="112"/>
      <c r="F9" s="112"/>
      <c r="G9" s="23" t="s">
        <v>75</v>
      </c>
      <c r="H9" s="23" t="s">
        <v>73</v>
      </c>
      <c r="I9" s="23">
        <f>'MERCADO TE'!$U$6</f>
        <v>0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112"/>
      <c r="B10" s="112" t="s">
        <v>86</v>
      </c>
      <c r="C10" s="112" t="s">
        <v>24</v>
      </c>
      <c r="D10" s="22" t="s">
        <v>24</v>
      </c>
      <c r="E10" s="22" t="s">
        <v>25</v>
      </c>
      <c r="F10" s="22" t="s">
        <v>25</v>
      </c>
      <c r="G10" s="23" t="s">
        <v>79</v>
      </c>
      <c r="H10" s="23" t="s">
        <v>73</v>
      </c>
      <c r="I10" s="23">
        <f>'MERCADO TE'!$U$7</f>
        <v>6839.3490000000002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112"/>
      <c r="B11" s="112"/>
      <c r="C11" s="112"/>
      <c r="D11" s="22" t="s">
        <v>29</v>
      </c>
      <c r="E11" s="22" t="s">
        <v>25</v>
      </c>
      <c r="F11" s="22" t="s">
        <v>25</v>
      </c>
      <c r="G11" s="23" t="s">
        <v>79</v>
      </c>
      <c r="H11" s="23" t="s">
        <v>73</v>
      </c>
      <c r="I11" s="23">
        <f>'MERCADO TE'!$U$8</f>
        <v>69.570000000000007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112"/>
      <c r="B12" s="112"/>
      <c r="C12" s="112"/>
      <c r="D12" s="22" t="s">
        <v>30</v>
      </c>
      <c r="E12" s="22" t="s">
        <v>25</v>
      </c>
      <c r="F12" s="22" t="s">
        <v>25</v>
      </c>
      <c r="G12" s="23" t="s">
        <v>79</v>
      </c>
      <c r="H12" s="23" t="s">
        <v>73</v>
      </c>
      <c r="I12" s="23">
        <f>'MERCADO TE'!$U$9</f>
        <v>149.51999999999998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112"/>
      <c r="B13" s="112"/>
      <c r="C13" s="112"/>
      <c r="D13" s="22" t="s">
        <v>31</v>
      </c>
      <c r="E13" s="22" t="s">
        <v>25</v>
      </c>
      <c r="F13" s="22" t="s">
        <v>25</v>
      </c>
      <c r="G13" s="23" t="s">
        <v>79</v>
      </c>
      <c r="H13" s="23" t="s">
        <v>73</v>
      </c>
      <c r="I13" s="23">
        <f>'MERCADO TE'!$U$10</f>
        <v>134.06700000000001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112"/>
      <c r="B14" s="112"/>
      <c r="C14" s="112"/>
      <c r="D14" s="22" t="s">
        <v>32</v>
      </c>
      <c r="E14" s="22" t="s">
        <v>25</v>
      </c>
      <c r="F14" s="22" t="s">
        <v>25</v>
      </c>
      <c r="G14" s="23" t="s">
        <v>79</v>
      </c>
      <c r="H14" s="23" t="s">
        <v>73</v>
      </c>
      <c r="I14" s="23">
        <f>'MERCADO TE'!$U$11</f>
        <v>36.650999999999996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112"/>
      <c r="B15" s="112" t="s">
        <v>88</v>
      </c>
      <c r="C15" s="112" t="s">
        <v>24</v>
      </c>
      <c r="D15" s="22" t="s">
        <v>24</v>
      </c>
      <c r="E15" s="22" t="s">
        <v>25</v>
      </c>
      <c r="F15" s="22" t="s">
        <v>25</v>
      </c>
      <c r="G15" s="23" t="s">
        <v>79</v>
      </c>
      <c r="H15" s="23" t="s">
        <v>73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112"/>
      <c r="B16" s="112"/>
      <c r="C16" s="112"/>
      <c r="D16" s="22" t="s">
        <v>29</v>
      </c>
      <c r="E16" s="22" t="s">
        <v>25</v>
      </c>
      <c r="F16" s="22" t="s">
        <v>25</v>
      </c>
      <c r="G16" s="23" t="s">
        <v>79</v>
      </c>
      <c r="H16" s="23" t="s">
        <v>73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112"/>
      <c r="B17" s="112"/>
      <c r="C17" s="112"/>
      <c r="D17" s="22" t="s">
        <v>30</v>
      </c>
      <c r="E17" s="22" t="s">
        <v>25</v>
      </c>
      <c r="F17" s="22" t="s">
        <v>25</v>
      </c>
      <c r="G17" s="23" t="s">
        <v>79</v>
      </c>
      <c r="H17" s="23" t="s">
        <v>73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112"/>
      <c r="B18" s="112"/>
      <c r="C18" s="112"/>
      <c r="D18" s="22" t="s">
        <v>31</v>
      </c>
      <c r="E18" s="22" t="s">
        <v>25</v>
      </c>
      <c r="F18" s="22" t="s">
        <v>25</v>
      </c>
      <c r="G18" s="23" t="s">
        <v>79</v>
      </c>
      <c r="H18" s="23" t="s">
        <v>73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112"/>
      <c r="B19" s="112"/>
      <c r="C19" s="112"/>
      <c r="D19" s="22" t="s">
        <v>32</v>
      </c>
      <c r="E19" s="22" t="s">
        <v>25</v>
      </c>
      <c r="F19" s="22" t="s">
        <v>25</v>
      </c>
      <c r="G19" s="23" t="s">
        <v>79</v>
      </c>
      <c r="H19" s="23" t="s">
        <v>73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112" t="s">
        <v>40</v>
      </c>
      <c r="B20" s="112" t="s">
        <v>72</v>
      </c>
      <c r="C20" s="112" t="s">
        <v>41</v>
      </c>
      <c r="D20" s="112" t="s">
        <v>25</v>
      </c>
      <c r="E20" s="112" t="s">
        <v>25</v>
      </c>
      <c r="F20" s="112" t="s">
        <v>25</v>
      </c>
      <c r="G20" s="23" t="s">
        <v>74</v>
      </c>
      <c r="H20" s="23" t="s">
        <v>73</v>
      </c>
      <c r="I20" s="23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112"/>
      <c r="B21" s="112"/>
      <c r="C21" s="112"/>
      <c r="D21" s="112"/>
      <c r="E21" s="112"/>
      <c r="F21" s="112"/>
      <c r="G21" s="23" t="s">
        <v>85</v>
      </c>
      <c r="H21" s="23" t="s">
        <v>73</v>
      </c>
      <c r="I21" s="23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112"/>
      <c r="B22" s="112"/>
      <c r="C22" s="112"/>
      <c r="D22" s="112"/>
      <c r="E22" s="112"/>
      <c r="F22" s="112"/>
      <c r="G22" s="23" t="s">
        <v>75</v>
      </c>
      <c r="H22" s="23" t="s">
        <v>73</v>
      </c>
      <c r="I22" s="23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112"/>
      <c r="B23" s="22" t="s">
        <v>86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79</v>
      </c>
      <c r="H23" s="23" t="s">
        <v>73</v>
      </c>
      <c r="I23" s="23">
        <f>'MERCADO TE'!$U$20</f>
        <v>5066.7939999999999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112"/>
      <c r="B24" s="112" t="s">
        <v>72</v>
      </c>
      <c r="C24" s="112" t="s">
        <v>41</v>
      </c>
      <c r="D24" s="112" t="s">
        <v>90</v>
      </c>
      <c r="E24" s="112" t="s">
        <v>25</v>
      </c>
      <c r="F24" s="112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112"/>
      <c r="B25" s="112"/>
      <c r="C25" s="112"/>
      <c r="D25" s="112"/>
      <c r="E25" s="112"/>
      <c r="F25" s="112"/>
      <c r="G25" s="23" t="s">
        <v>85</v>
      </c>
      <c r="H25" s="23" t="s">
        <v>73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112"/>
      <c r="B26" s="112"/>
      <c r="C26" s="112"/>
      <c r="D26" s="112"/>
      <c r="E26" s="112"/>
      <c r="F26" s="112"/>
      <c r="G26" s="23" t="s">
        <v>75</v>
      </c>
      <c r="H26" s="23" t="s">
        <v>73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112"/>
      <c r="B27" s="22" t="s">
        <v>86</v>
      </c>
      <c r="C27" s="22" t="s">
        <v>41</v>
      </c>
      <c r="D27" s="22" t="s">
        <v>90</v>
      </c>
      <c r="E27" s="22" t="s">
        <v>25</v>
      </c>
      <c r="F27" s="22" t="s">
        <v>25</v>
      </c>
      <c r="G27" s="23" t="s">
        <v>79</v>
      </c>
      <c r="H27" s="23" t="s">
        <v>73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112"/>
      <c r="B28" s="112" t="s">
        <v>72</v>
      </c>
      <c r="C28" s="112" t="s">
        <v>41</v>
      </c>
      <c r="D28" s="112" t="s">
        <v>91</v>
      </c>
      <c r="E28" s="112" t="s">
        <v>25</v>
      </c>
      <c r="F28" s="112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112"/>
      <c r="B29" s="112"/>
      <c r="C29" s="112"/>
      <c r="D29" s="112"/>
      <c r="E29" s="112"/>
      <c r="F29" s="112"/>
      <c r="G29" s="23" t="s">
        <v>85</v>
      </c>
      <c r="H29" s="23" t="s">
        <v>73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112"/>
      <c r="B30" s="112"/>
      <c r="C30" s="112"/>
      <c r="D30" s="112"/>
      <c r="E30" s="112"/>
      <c r="F30" s="112"/>
      <c r="G30" s="23" t="s">
        <v>75</v>
      </c>
      <c r="H30" s="23" t="s">
        <v>73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112"/>
      <c r="B31" s="22" t="s">
        <v>86</v>
      </c>
      <c r="C31" s="22" t="s">
        <v>41</v>
      </c>
      <c r="D31" s="22" t="s">
        <v>91</v>
      </c>
      <c r="E31" s="22" t="s">
        <v>25</v>
      </c>
      <c r="F31" s="22" t="s">
        <v>25</v>
      </c>
      <c r="G31" s="23" t="s">
        <v>79</v>
      </c>
      <c r="H31" s="23" t="s">
        <v>73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112"/>
      <c r="B32" s="112" t="s">
        <v>88</v>
      </c>
      <c r="C32" s="112" t="s">
        <v>41</v>
      </c>
      <c r="D32" s="22" t="s">
        <v>25</v>
      </c>
      <c r="E32" s="22" t="s">
        <v>25</v>
      </c>
      <c r="F32" s="22" t="s">
        <v>25</v>
      </c>
      <c r="G32" s="23" t="s">
        <v>79</v>
      </c>
      <c r="H32" s="23" t="s">
        <v>73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112"/>
      <c r="B33" s="112"/>
      <c r="C33" s="112"/>
      <c r="D33" s="22" t="s">
        <v>90</v>
      </c>
      <c r="E33" s="22" t="s">
        <v>25</v>
      </c>
      <c r="F33" s="22" t="s">
        <v>25</v>
      </c>
      <c r="G33" s="23" t="s">
        <v>79</v>
      </c>
      <c r="H33" s="23" t="s">
        <v>73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112"/>
      <c r="B34" s="112"/>
      <c r="C34" s="112"/>
      <c r="D34" s="22" t="s">
        <v>91</v>
      </c>
      <c r="E34" s="22" t="s">
        <v>25</v>
      </c>
      <c r="F34" s="22" t="s">
        <v>25</v>
      </c>
      <c r="G34" s="23" t="s">
        <v>79</v>
      </c>
      <c r="H34" s="23" t="s">
        <v>73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112" t="s">
        <v>33</v>
      </c>
      <c r="B35" s="112" t="s">
        <v>72</v>
      </c>
      <c r="C35" s="112" t="s">
        <v>25</v>
      </c>
      <c r="D35" s="112" t="s">
        <v>25</v>
      </c>
      <c r="E35" s="112" t="s">
        <v>25</v>
      </c>
      <c r="F35" s="112" t="s">
        <v>25</v>
      </c>
      <c r="G35" s="23" t="s">
        <v>74</v>
      </c>
      <c r="H35" s="23" t="s">
        <v>73</v>
      </c>
      <c r="I35" s="23">
        <f>'MERCADO TE'!$U$32</f>
        <v>0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112"/>
      <c r="B36" s="112"/>
      <c r="C36" s="112"/>
      <c r="D36" s="112"/>
      <c r="E36" s="112"/>
      <c r="F36" s="112"/>
      <c r="G36" s="23" t="s">
        <v>85</v>
      </c>
      <c r="H36" s="23" t="s">
        <v>73</v>
      </c>
      <c r="I36" s="23">
        <f>'MERCADO TE'!$U$33</f>
        <v>0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112"/>
      <c r="B37" s="112"/>
      <c r="C37" s="112"/>
      <c r="D37" s="112"/>
      <c r="E37" s="112"/>
      <c r="F37" s="112"/>
      <c r="G37" s="23" t="s">
        <v>75</v>
      </c>
      <c r="H37" s="23" t="s">
        <v>73</v>
      </c>
      <c r="I37" s="23">
        <f>'MERCADO TE'!$U$34</f>
        <v>0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112"/>
      <c r="B38" s="22" t="s">
        <v>86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79</v>
      </c>
      <c r="H38" s="23" t="s">
        <v>73</v>
      </c>
      <c r="I38" s="23">
        <f>'MERCADO TE'!$U$35</f>
        <v>2202.5430000000001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112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79</v>
      </c>
      <c r="H39" s="23" t="s">
        <v>73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112" t="s">
        <v>43</v>
      </c>
      <c r="B40" s="112" t="s">
        <v>86</v>
      </c>
      <c r="C40" s="112" t="s">
        <v>44</v>
      </c>
      <c r="D40" s="22" t="s">
        <v>45</v>
      </c>
      <c r="E40" s="22" t="s">
        <v>25</v>
      </c>
      <c r="F40" s="22" t="s">
        <v>25</v>
      </c>
      <c r="G40" s="23" t="s">
        <v>79</v>
      </c>
      <c r="H40" s="23" t="s">
        <v>73</v>
      </c>
      <c r="I40" s="23">
        <f>'MERCADO TE'!$U$37</f>
        <v>786.13800000000003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112"/>
      <c r="B41" s="112"/>
      <c r="C41" s="112"/>
      <c r="D41" s="23" t="s">
        <v>46</v>
      </c>
      <c r="E41" s="23" t="s">
        <v>25</v>
      </c>
      <c r="F41" s="23" t="s">
        <v>25</v>
      </c>
      <c r="G41" s="23" t="s">
        <v>79</v>
      </c>
      <c r="H41" s="23" t="s">
        <v>73</v>
      </c>
      <c r="I41" s="23">
        <f>'MERCADO TE'!$U$38</f>
        <v>25.399000000000001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25">
      <c r="K43" s="25" t="s">
        <v>534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453</v>
      </c>
      <c r="L44" s="20">
        <f>CUSTOS!$D$30</f>
        <v>0</v>
      </c>
      <c r="M44" s="20">
        <f>CUSTOS!$D$31</f>
        <v>755462.82000000007</v>
      </c>
      <c r="N44" s="20">
        <f>CUSTOS!$D$32</f>
        <v>0</v>
      </c>
      <c r="O44" s="20">
        <f>CUSTOS!$D$33</f>
        <v>0</v>
      </c>
      <c r="P44" s="20">
        <f>CUSTOS!$D$34</f>
        <v>-585451.85</v>
      </c>
      <c r="Q44" s="20">
        <f>CUSTOS!$D$35</f>
        <v>170010.97000000009</v>
      </c>
      <c r="R44" s="20">
        <f>CUSTOS!$D$36</f>
        <v>5800148.5248689074</v>
      </c>
      <c r="S44" s="20">
        <f>CUSTOS!$D$37</f>
        <v>5800148.5248689074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131017.16874052629</v>
      </c>
      <c r="AA44" s="20">
        <f>CUSTOS!$D$45</f>
        <v>131017.16874052629</v>
      </c>
      <c r="AB44" s="20">
        <f>CUSTOS!$D$46</f>
        <v>6101176.663609433</v>
      </c>
    </row>
    <row r="45" spans="1:28" ht="11.25" customHeight="1" x14ac:dyDescent="0.25">
      <c r="K45" s="25" t="s">
        <v>454</v>
      </c>
      <c r="L45" s="20">
        <f>CUSTOS!$E$30</f>
        <v>0</v>
      </c>
      <c r="M45" s="20">
        <f>CUSTOS!$E$31</f>
        <v>8837.6698649977188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8837.6698649977188</v>
      </c>
      <c r="R45" s="20">
        <f>CUSTOS!$E$36</f>
        <v>-304032.1134910314</v>
      </c>
      <c r="S45" s="20">
        <f>CUSTOS!$E$37</f>
        <v>-304032.1134910314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-65088.632676172878</v>
      </c>
      <c r="Y45" s="20">
        <f>CUSTOS!$E$43</f>
        <v>-65088.632676172878</v>
      </c>
      <c r="Z45" s="20">
        <f>CUSTOS!$E$44</f>
        <v>-6867.6563272478616</v>
      </c>
      <c r="AA45" s="20">
        <f>CUSTOS!$E$45</f>
        <v>-6867.6563272478616</v>
      </c>
      <c r="AB45" s="20">
        <f>CUSTOS!$E$46</f>
        <v>-367150.7326294544</v>
      </c>
    </row>
    <row r="46" spans="1:28" ht="11.25" customHeight="1" x14ac:dyDescent="0.25">
      <c r="K46" s="25" t="s">
        <v>455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52" priority="33" operator="notEqual">
      <formula>$L$46</formula>
    </cfRule>
    <cfRule type="cellIs" dxfId="751" priority="34" operator="equal">
      <formula>$L$46</formula>
    </cfRule>
  </conditionalFormatting>
  <conditionalFormatting sqref="M43">
    <cfRule type="cellIs" dxfId="750" priority="31" operator="notEqual">
      <formula>$M$46</formula>
    </cfRule>
    <cfRule type="cellIs" dxfId="749" priority="32" operator="equal">
      <formula>$M$46</formula>
    </cfRule>
  </conditionalFormatting>
  <conditionalFormatting sqref="N43">
    <cfRule type="cellIs" dxfId="748" priority="29" operator="notEqual">
      <formula>$N$46</formula>
    </cfRule>
    <cfRule type="cellIs" dxfId="747" priority="30" operator="equal">
      <formula>$N$46</formula>
    </cfRule>
  </conditionalFormatting>
  <conditionalFormatting sqref="O43">
    <cfRule type="cellIs" dxfId="746" priority="27" operator="notEqual">
      <formula>$O$46</formula>
    </cfRule>
    <cfRule type="cellIs" dxfId="745" priority="28" operator="equal">
      <formula>$O$46</formula>
    </cfRule>
  </conditionalFormatting>
  <conditionalFormatting sqref="P43">
    <cfRule type="cellIs" dxfId="744" priority="25" operator="notEqual">
      <formula>$P$46</formula>
    </cfRule>
    <cfRule type="cellIs" dxfId="743" priority="26" operator="equal">
      <formula>$P$46</formula>
    </cfRule>
  </conditionalFormatting>
  <conditionalFormatting sqref="Q43">
    <cfRule type="cellIs" dxfId="742" priority="23" operator="notEqual">
      <formula>$Q$46</formula>
    </cfRule>
    <cfRule type="cellIs" dxfId="741" priority="24" operator="equal">
      <formula>$Q$46</formula>
    </cfRule>
  </conditionalFormatting>
  <conditionalFormatting sqref="R43">
    <cfRule type="cellIs" dxfId="740" priority="21" operator="notEqual">
      <formula>$R$46</formula>
    </cfRule>
    <cfRule type="cellIs" dxfId="739" priority="22" operator="equal">
      <formula>$R$46</formula>
    </cfRule>
  </conditionalFormatting>
  <conditionalFormatting sqref="S43">
    <cfRule type="cellIs" dxfId="738" priority="19" operator="notEqual">
      <formula>$S$46</formula>
    </cfRule>
    <cfRule type="cellIs" dxfId="737" priority="20" operator="equal">
      <formula>$S$46</formula>
    </cfRule>
  </conditionalFormatting>
  <conditionalFormatting sqref="T43">
    <cfRule type="cellIs" dxfId="736" priority="17" operator="notEqual">
      <formula>$T$46</formula>
    </cfRule>
    <cfRule type="cellIs" dxfId="735" priority="18" operator="equal">
      <formula>$T$46</formula>
    </cfRule>
  </conditionalFormatting>
  <conditionalFormatting sqref="U43">
    <cfRule type="cellIs" dxfId="734" priority="15" operator="notEqual">
      <formula>$U$46</formula>
    </cfRule>
    <cfRule type="cellIs" dxfId="733" priority="16" operator="equal">
      <formula>$U$46</formula>
    </cfRule>
  </conditionalFormatting>
  <conditionalFormatting sqref="V43">
    <cfRule type="cellIs" dxfId="732" priority="13" operator="notEqual">
      <formula>$V$46</formula>
    </cfRule>
    <cfRule type="cellIs" dxfId="731" priority="14" operator="equal">
      <formula>$V$46</formula>
    </cfRule>
  </conditionalFormatting>
  <conditionalFormatting sqref="W43">
    <cfRule type="cellIs" dxfId="730" priority="11" operator="notEqual">
      <formula>$W$46</formula>
    </cfRule>
    <cfRule type="cellIs" dxfId="729" priority="12" operator="equal">
      <formula>$W$46</formula>
    </cfRule>
  </conditionalFormatting>
  <conditionalFormatting sqref="X43">
    <cfRule type="cellIs" dxfId="728" priority="9" operator="notEqual">
      <formula>$X$46</formula>
    </cfRule>
    <cfRule type="cellIs" dxfId="727" priority="10" operator="equal">
      <formula>$X$46</formula>
    </cfRule>
  </conditionalFormatting>
  <conditionalFormatting sqref="Y43">
    <cfRule type="cellIs" dxfId="726" priority="7" operator="notEqual">
      <formula>$Y$46</formula>
    </cfRule>
    <cfRule type="cellIs" dxfId="725" priority="8" operator="equal">
      <formula>$Y$46</formula>
    </cfRule>
  </conditionalFormatting>
  <conditionalFormatting sqref="Z43">
    <cfRule type="cellIs" dxfId="724" priority="5" operator="notEqual">
      <formula>$Z$46</formula>
    </cfRule>
    <cfRule type="cellIs" dxfId="723" priority="6" operator="equal">
      <formula>$Z$46</formula>
    </cfRule>
  </conditionalFormatting>
  <conditionalFormatting sqref="AA43">
    <cfRule type="cellIs" dxfId="722" priority="3" operator="notEqual">
      <formula>$AA$46</formula>
    </cfRule>
    <cfRule type="cellIs" dxfId="721" priority="4" operator="equal">
      <formula>$AA$46</formula>
    </cfRule>
  </conditionalFormatting>
  <conditionalFormatting sqref="AB43">
    <cfRule type="cellIs" dxfId="720" priority="1" operator="notEqual">
      <formula>$AB$46</formula>
    </cfRule>
    <cfRule type="cellIs" dxfId="71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57B6-4AE7-4941-B811-E6B68B9FF41D}">
  <dimension ref="A1:AV508"/>
  <sheetViews>
    <sheetView showGridLines="0" topLeftCell="AL1" zoomScale="130" zoomScaleNormal="130" workbookViewId="0">
      <selection activeCell="AR19" sqref="AR19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I1" s="34" t="s">
        <v>63</v>
      </c>
      <c r="AJ1" s="34" t="s">
        <v>585</v>
      </c>
      <c r="AK1" s="34" t="s">
        <v>586</v>
      </c>
      <c r="AL1" s="34" t="s">
        <v>587</v>
      </c>
      <c r="AN1" s="34" t="s">
        <v>63</v>
      </c>
      <c r="AO1" s="34" t="s">
        <v>588</v>
      </c>
      <c r="AP1" s="34" t="s">
        <v>589</v>
      </c>
      <c r="AQ1" s="34" t="s">
        <v>587</v>
      </c>
      <c r="AS1" s="34" t="s">
        <v>63</v>
      </c>
      <c r="AT1" s="34" t="s">
        <v>590</v>
      </c>
      <c r="AU1" s="34" t="s">
        <v>591</v>
      </c>
      <c r="AV1" s="34" t="s">
        <v>587</v>
      </c>
    </row>
    <row r="2" spans="1:48" ht="11.25" customHeight="1" x14ac:dyDescent="0.25">
      <c r="A2" s="3" t="s">
        <v>21</v>
      </c>
      <c r="B2" s="3" t="s">
        <v>35</v>
      </c>
      <c r="C2" s="3" t="s">
        <v>54</v>
      </c>
      <c r="D2" s="3" t="s">
        <v>34</v>
      </c>
      <c r="E2" s="3" t="s">
        <v>25</v>
      </c>
      <c r="F2" s="3" t="s">
        <v>55</v>
      </c>
      <c r="G2" s="3" t="s">
        <v>25</v>
      </c>
      <c r="H2" s="3" t="s">
        <v>38</v>
      </c>
      <c r="I2" s="6">
        <v>44440</v>
      </c>
      <c r="J2" s="4">
        <v>87</v>
      </c>
      <c r="K2" s="4">
        <v>43.5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56</v>
      </c>
      <c r="R2" s="3">
        <v>0</v>
      </c>
      <c r="S2" s="4">
        <v>1</v>
      </c>
      <c r="T2" s="4">
        <v>0</v>
      </c>
      <c r="U2" s="4">
        <v>0</v>
      </c>
      <c r="V2" s="4">
        <f>IF(ISERROR(VLOOKUP($S$2,'TAR FIN'!$A$1:$O$85,15,0)),0,VLOOKUP($S$2,'TAR FIN'!$A$1:$O$85,15,0))</f>
        <v>22.34</v>
      </c>
      <c r="W2" s="4">
        <f>IF(ISERROR(VLOOKUP($T$2,'TAR FIN'!$A$1:$O$85,15,0)),0,VLOOKUP($T$2,'TAR FIN'!$A$1:$O$85,15,0))</f>
        <v>0</v>
      </c>
      <c r="X2" s="4">
        <f>IF(ISERROR(VLOOKUP($U$2,'TAR FIN'!$A$1:$O$85,15,0)),0,VLOOKUP($U$2,'TAR FIN'!$A$1:$O$85,15,0))</f>
        <v>0</v>
      </c>
      <c r="Y2" s="4">
        <f ca="1">('TUSD BE'!$AM$6+'TUSD BF'!$AM$6+'TUSD CVA'!$AM$6)*1</f>
        <v>28.040256427516418</v>
      </c>
      <c r="Z2" s="4">
        <f ca="1">('TUSD BE'!$AM$7+'TUSD BF'!$AM$7+'TUSD CVA'!$AM$7)*1</f>
        <v>100.14715657738388</v>
      </c>
      <c r="AA2" s="4"/>
      <c r="AB2" s="4">
        <f>$K$2*$V$2</f>
        <v>971.79</v>
      </c>
      <c r="AC2" s="4">
        <f>$M$2*$W$2</f>
        <v>0</v>
      </c>
      <c r="AD2" s="4">
        <f>$O$2*$X$2</f>
        <v>0</v>
      </c>
      <c r="AE2" s="4">
        <f ca="1">$K$2*$Y$2</f>
        <v>1219.7511545969642</v>
      </c>
      <c r="AF2" s="4">
        <f ca="1">$M$2*$Z$2</f>
        <v>0</v>
      </c>
      <c r="AG2" s="4">
        <f>$O$2*$AA$2</f>
        <v>0</v>
      </c>
      <c r="AI2" s="35" t="s">
        <v>35</v>
      </c>
      <c r="AJ2" s="36">
        <f>SUMIF($B$2:$B$508,AI2,$AB$2:$AB$508)+SUMIF($B$2:$B$508,AI2,$AC$2:$AC$508)</f>
        <v>4501255.4221699499</v>
      </c>
      <c r="AK2" s="36">
        <f ca="1">SUMIF($B$2:$B$508,AI2,$AE$2:$AE$508)+SUMIF($B$2:$B$508,AI2,$AF$2:$AF$508)</f>
        <v>6059892.3159497548</v>
      </c>
      <c r="AL2" s="37">
        <f t="shared" ref="AL2:AL9" ca="1" si="0">IF(AJ2&lt;&gt;0,AK2/AJ2-1,0)</f>
        <v>0.34626715162687272</v>
      </c>
      <c r="AN2" s="35" t="s">
        <v>35</v>
      </c>
      <c r="AO2" s="36">
        <f>SUMIF($B$2:$B$508,AN2,$AD$2:$AD$508)</f>
        <v>3750950.1486040005</v>
      </c>
      <c r="AP2" s="36">
        <f>SUMIF($B$2:$B$508,AN2,$AG$2:$AG$508)</f>
        <v>2610709.6821316378</v>
      </c>
      <c r="AQ2" s="37">
        <f t="shared" ref="AQ2:AQ9" si="1">IF(AO2&lt;&gt;0,AP2/AO2-1,0)</f>
        <v>-0.30398710228039916</v>
      </c>
      <c r="AS2" s="35" t="s">
        <v>35</v>
      </c>
      <c r="AT2" s="36">
        <f>SUMIF($B$2:$B$508,AS2,$AB$2:$AB$508)+SUMIF($B$2:$B$508,AS2,$AC$2:$AC$508)+SUMIF($B$2:$B$508,AS2,$AD$2:$AD$508)</f>
        <v>8252205.5707739498</v>
      </c>
      <c r="AU2" s="36">
        <f ca="1">SUMIF($B$2:$B$508,AS2,$AE$2:$AE$508)+SUMIF($B$2:$B$508,AS2,$AF$2:$AF$508)+SUMIF($B$2:$B$508,AS2,$AG$2:$AG$508)</f>
        <v>8670601.9980813935</v>
      </c>
      <c r="AV2" s="37">
        <f t="shared" ref="AV2:AV9" ca="1" si="2">IF(AT2&lt;&gt;0,AU2/AT2-1,0)</f>
        <v>5.070116391540691E-2</v>
      </c>
    </row>
    <row r="3" spans="1:48" ht="11.25" customHeight="1" x14ac:dyDescent="0.25">
      <c r="A3" s="3" t="s">
        <v>21</v>
      </c>
      <c r="B3" s="3" t="s">
        <v>35</v>
      </c>
      <c r="C3" s="3" t="s">
        <v>54</v>
      </c>
      <c r="D3" s="3" t="s">
        <v>34</v>
      </c>
      <c r="E3" s="3" t="s">
        <v>25</v>
      </c>
      <c r="F3" s="3" t="s">
        <v>55</v>
      </c>
      <c r="G3" s="3" t="s">
        <v>25</v>
      </c>
      <c r="H3" s="3" t="s">
        <v>38</v>
      </c>
      <c r="I3" s="6">
        <v>44470</v>
      </c>
      <c r="J3" s="4">
        <v>87</v>
      </c>
      <c r="K3" s="4">
        <v>43.5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56</v>
      </c>
      <c r="R3" s="3">
        <v>0</v>
      </c>
      <c r="S3" s="4">
        <v>1</v>
      </c>
      <c r="T3" s="4">
        <v>0</v>
      </c>
      <c r="U3" s="4">
        <v>0</v>
      </c>
      <c r="V3" s="4">
        <f>IF(ISERROR(VLOOKUP($S$3,'TAR FIN'!$A$1:$O$85,15,0)),0,VLOOKUP($S$3,'TAR FIN'!$A$1:$O$85,15,0))</f>
        <v>22.34</v>
      </c>
      <c r="W3" s="4">
        <f>IF(ISERROR(VLOOKUP($T$3,'TAR FIN'!$A$1:$O$85,15,0)),0,VLOOKUP($T$3,'TAR FIN'!$A$1:$O$85,15,0))</f>
        <v>0</v>
      </c>
      <c r="X3" s="4">
        <f>IF(ISERROR(VLOOKUP($U$3,'TAR FIN'!$A$1:$O$85,15,0)),0,VLOOKUP($U$3,'TAR FIN'!$A$1:$O$85,15,0))</f>
        <v>0</v>
      </c>
      <c r="Y3" s="4">
        <f ca="1">('TUSD BE'!$AM$6+'TUSD BF'!$AM$6+'TUSD CVA'!$AM$6)*1</f>
        <v>28.040256427516418</v>
      </c>
      <c r="Z3" s="4">
        <f ca="1">('TUSD BE'!$AM$7+'TUSD BF'!$AM$7+'TUSD CVA'!$AM$7)*1</f>
        <v>100.14715657738388</v>
      </c>
      <c r="AA3" s="4"/>
      <c r="AB3" s="4">
        <f>$K$3*$V$3</f>
        <v>971.79</v>
      </c>
      <c r="AC3" s="4">
        <f>$M$3*$W$3</f>
        <v>0</v>
      </c>
      <c r="AD3" s="4">
        <f>$O$3*$X$3</f>
        <v>0</v>
      </c>
      <c r="AE3" s="4">
        <f ca="1">$K$3*$Y$3</f>
        <v>1219.7511545969642</v>
      </c>
      <c r="AF3" s="4">
        <f ca="1">$M$3*$Z$3</f>
        <v>0</v>
      </c>
      <c r="AG3" s="4">
        <f>$O$3*$AA$3</f>
        <v>0</v>
      </c>
      <c r="AI3" s="35" t="s">
        <v>22</v>
      </c>
      <c r="AJ3" s="36">
        <f>SUMIF($B$2:$B$508,AI3,$AB$2:$AB$508)+SUMIF($B$2:$B$508,AI3,$AC$2:$AC$508)</f>
        <v>2599820.9265599996</v>
      </c>
      <c r="AK3" s="36">
        <f ca="1">SUMIF($B$2:$B$508,AI3,$AE$2:$AE$508)+SUMIF($B$2:$B$508,AI3,$AF$2:$AF$508)</f>
        <v>3081981.5044021681</v>
      </c>
      <c r="AL3" s="37">
        <f t="shared" ca="1" si="0"/>
        <v>0.18545914948078668</v>
      </c>
      <c r="AN3" s="35" t="s">
        <v>22</v>
      </c>
      <c r="AO3" s="36">
        <f>SUMIF($B$2:$B$508,AN3,$AD$2:$AD$508)</f>
        <v>1905034.3139400007</v>
      </c>
      <c r="AP3" s="36">
        <f>SUMIF($B$2:$B$508,AN3,$AG$2:$AG$508)</f>
        <v>1318475.8953577385</v>
      </c>
      <c r="AQ3" s="37">
        <f t="shared" si="1"/>
        <v>-0.30789913561669102</v>
      </c>
      <c r="AS3" s="35" t="s">
        <v>22</v>
      </c>
      <c r="AT3" s="36">
        <f>SUMIF($B$2:$B$508,AS3,$AB$2:$AB$508)+SUMIF($B$2:$B$508,AS3,$AC$2:$AC$508)+SUMIF($B$2:$B$508,AS3,$AD$2:$AD$508)</f>
        <v>4504855.2405000003</v>
      </c>
      <c r="AU3" s="36">
        <f ca="1">SUMIF($B$2:$B$508,AS3,$AE$2:$AE$508)+SUMIF($B$2:$B$508,AS3,$AF$2:$AF$508)+SUMIF($B$2:$B$508,AS3,$AG$2:$AG$508)</f>
        <v>4400457.3997599063</v>
      </c>
      <c r="AV3" s="37">
        <f t="shared" ca="1" si="2"/>
        <v>-2.3174516197884909E-2</v>
      </c>
    </row>
    <row r="4" spans="1:48" ht="11.25" customHeight="1" x14ac:dyDescent="0.25">
      <c r="A4" s="3" t="s">
        <v>21</v>
      </c>
      <c r="B4" s="3" t="s">
        <v>35</v>
      </c>
      <c r="C4" s="3" t="s">
        <v>54</v>
      </c>
      <c r="D4" s="3" t="s">
        <v>34</v>
      </c>
      <c r="E4" s="3" t="s">
        <v>25</v>
      </c>
      <c r="F4" s="3" t="s">
        <v>55</v>
      </c>
      <c r="G4" s="3" t="s">
        <v>25</v>
      </c>
      <c r="H4" s="3" t="s">
        <v>38</v>
      </c>
      <c r="I4" s="6">
        <v>44501</v>
      </c>
      <c r="J4" s="4">
        <v>89</v>
      </c>
      <c r="K4" s="4">
        <v>44.5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56</v>
      </c>
      <c r="R4" s="3">
        <v>0</v>
      </c>
      <c r="S4" s="4">
        <v>1</v>
      </c>
      <c r="T4" s="4">
        <v>0</v>
      </c>
      <c r="U4" s="4">
        <v>0</v>
      </c>
      <c r="V4" s="4">
        <f>IF(ISERROR(VLOOKUP($S$4,'TAR FIN'!$A$1:$O$85,15,0)),0,VLOOKUP($S$4,'TAR FIN'!$A$1:$O$85,15,0))</f>
        <v>22.34</v>
      </c>
      <c r="W4" s="4">
        <f>IF(ISERROR(VLOOKUP($T$4,'TAR FIN'!$A$1:$O$85,15,0)),0,VLOOKUP($T$4,'TAR FIN'!$A$1:$O$85,15,0))</f>
        <v>0</v>
      </c>
      <c r="X4" s="4">
        <f>IF(ISERROR(VLOOKUP($U$4,'TAR FIN'!$A$1:$O$85,15,0)),0,VLOOKUP($U$4,'TAR FIN'!$A$1:$O$85,15,0))</f>
        <v>0</v>
      </c>
      <c r="Y4" s="4">
        <f ca="1">('TUSD BE'!$AM$6+'TUSD BF'!$AM$6+'TUSD CVA'!$AM$6)*1</f>
        <v>28.040256427516418</v>
      </c>
      <c r="Z4" s="4">
        <f ca="1">('TUSD BE'!$AM$7+'TUSD BF'!$AM$7+'TUSD CVA'!$AM$7)*1</f>
        <v>100.14715657738388</v>
      </c>
      <c r="AA4" s="4"/>
      <c r="AB4" s="4">
        <f>$K$4*$V$4</f>
        <v>994.13</v>
      </c>
      <c r="AC4" s="4">
        <f>$M$4*$W$4</f>
        <v>0</v>
      </c>
      <c r="AD4" s="4">
        <f>$O$4*$X$4</f>
        <v>0</v>
      </c>
      <c r="AE4" s="4">
        <f ca="1">$K$4*$Y$4</f>
        <v>1247.7914110244806</v>
      </c>
      <c r="AF4" s="4">
        <f ca="1">$M$4*$Z$4</f>
        <v>0</v>
      </c>
      <c r="AG4" s="4">
        <f>$O$4*$AA$4</f>
        <v>0</v>
      </c>
      <c r="AI4" s="35" t="s">
        <v>40</v>
      </c>
      <c r="AJ4" s="36">
        <f>SUMIF($B$2:$B$508,AI4,$AB$2:$AB$508)+SUMIF($B$2:$B$508,AI4,$AC$2:$AC$508)</f>
        <v>1511979.8240800004</v>
      </c>
      <c r="AK4" s="36">
        <f ca="1">SUMIF($B$2:$B$508,AI4,$AE$2:$AE$508)+SUMIF($B$2:$B$508,AI4,$AF$2:$AF$508)</f>
        <v>1921845.9401508127</v>
      </c>
      <c r="AL4" s="37">
        <f t="shared" ca="1" si="0"/>
        <v>0.2710790908339038</v>
      </c>
      <c r="AN4" s="35" t="s">
        <v>40</v>
      </c>
      <c r="AO4" s="36">
        <f>SUMIF($B$2:$B$508,AN4,$AD$2:$AD$508)</f>
        <v>1101490.5238399999</v>
      </c>
      <c r="AP4" s="36">
        <f>SUMIF($B$2:$B$508,AN4,$AG$2:$AG$508)</f>
        <v>814323.5651521855</v>
      </c>
      <c r="AQ4" s="37">
        <f t="shared" si="1"/>
        <v>-0.26070760707654317</v>
      </c>
      <c r="AS4" s="35" t="s">
        <v>40</v>
      </c>
      <c r="AT4" s="36">
        <f>SUMIF($B$2:$B$508,AS4,$AB$2:$AB$508)+SUMIF($B$2:$B$508,AS4,$AC$2:$AC$508)+SUMIF($B$2:$B$508,AS4,$AD$2:$AD$508)</f>
        <v>2613470.3479200006</v>
      </c>
      <c r="AU4" s="36">
        <f ca="1">SUMIF($B$2:$B$508,AS4,$AE$2:$AE$508)+SUMIF($B$2:$B$508,AS4,$AF$2:$AF$508)+SUMIF($B$2:$B$508,AS4,$AG$2:$AG$508)</f>
        <v>2736169.5053029982</v>
      </c>
      <c r="AV4" s="37">
        <f t="shared" ca="1" si="2"/>
        <v>4.6948746704033262E-2</v>
      </c>
    </row>
    <row r="5" spans="1:48" ht="11.25" customHeight="1" x14ac:dyDescent="0.25">
      <c r="A5" s="3" t="s">
        <v>21</v>
      </c>
      <c r="B5" s="3" t="s">
        <v>35</v>
      </c>
      <c r="C5" s="3" t="s">
        <v>54</v>
      </c>
      <c r="D5" s="3" t="s">
        <v>34</v>
      </c>
      <c r="E5" s="3" t="s">
        <v>25</v>
      </c>
      <c r="F5" s="3" t="s">
        <v>55</v>
      </c>
      <c r="G5" s="3" t="s">
        <v>25</v>
      </c>
      <c r="H5" s="3" t="s">
        <v>38</v>
      </c>
      <c r="I5" s="6">
        <v>44531</v>
      </c>
      <c r="J5" s="4">
        <v>89</v>
      </c>
      <c r="K5" s="4">
        <v>44.5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56</v>
      </c>
      <c r="R5" s="3">
        <v>0</v>
      </c>
      <c r="S5" s="4">
        <v>1</v>
      </c>
      <c r="T5" s="4">
        <v>0</v>
      </c>
      <c r="U5" s="4">
        <v>0</v>
      </c>
      <c r="V5" s="4">
        <f>IF(ISERROR(VLOOKUP($S$5,'TAR FIN'!$A$1:$O$85,15,0)),0,VLOOKUP($S$5,'TAR FIN'!$A$1:$O$85,15,0))</f>
        <v>22.34</v>
      </c>
      <c r="W5" s="4">
        <f>IF(ISERROR(VLOOKUP($T$5,'TAR FIN'!$A$1:$O$85,15,0)),0,VLOOKUP($T$5,'TAR FIN'!$A$1:$O$85,15,0))</f>
        <v>0</v>
      </c>
      <c r="X5" s="4">
        <f>IF(ISERROR(VLOOKUP($U$5,'TAR FIN'!$A$1:$O$85,15,0)),0,VLOOKUP($U$5,'TAR FIN'!$A$1:$O$85,15,0))</f>
        <v>0</v>
      </c>
      <c r="Y5" s="4">
        <f ca="1">('TUSD BE'!$AM$6+'TUSD BF'!$AM$6+'TUSD CVA'!$AM$6)*1</f>
        <v>28.040256427516418</v>
      </c>
      <c r="Z5" s="4">
        <f ca="1">('TUSD BE'!$AM$7+'TUSD BF'!$AM$7+'TUSD CVA'!$AM$7)*1</f>
        <v>100.14715657738388</v>
      </c>
      <c r="AA5" s="4"/>
      <c r="AB5" s="4">
        <f>$K$5*$V$5</f>
        <v>994.13</v>
      </c>
      <c r="AC5" s="4">
        <f>$M$5*$W$5</f>
        <v>0</v>
      </c>
      <c r="AD5" s="4">
        <f>$O$5*$X$5</f>
        <v>0</v>
      </c>
      <c r="AE5" s="4">
        <f ca="1">$K$5*$Y$5</f>
        <v>1247.7914110244806</v>
      </c>
      <c r="AF5" s="4">
        <f ca="1">$M$5*$Z$5</f>
        <v>0</v>
      </c>
      <c r="AG5" s="4">
        <f>$O$5*$AA$5</f>
        <v>0</v>
      </c>
      <c r="AI5" s="35" t="s">
        <v>33</v>
      </c>
      <c r="AJ5" s="36">
        <f>SUMIF($B$2:$B$508,AI5,$AB$2:$AB$508)+SUMIF($B$2:$B$508,AI5,$AC$2:$AC$508)</f>
        <v>805583.79444000067</v>
      </c>
      <c r="AK5" s="36">
        <f ca="1">SUMIF($B$2:$B$508,AI5,$AE$2:$AE$508)+SUMIF($B$2:$B$508,AI5,$AF$2:$AF$508)</f>
        <v>961220.23364543228</v>
      </c>
      <c r="AL5" s="37">
        <f t="shared" ca="1" si="0"/>
        <v>0.19319708300937433</v>
      </c>
      <c r="AN5" s="35" t="s">
        <v>33</v>
      </c>
      <c r="AO5" s="36">
        <f>SUMIF($B$2:$B$508,AN5,$AD$2:$AD$508)</f>
        <v>586876.83036960079</v>
      </c>
      <c r="AP5" s="36">
        <f>SUMIF($B$2:$B$508,AN5,$AG$2:$AG$508)</f>
        <v>407287.73894183291</v>
      </c>
      <c r="AQ5" s="37">
        <f t="shared" si="1"/>
        <v>-0.30600814708371948</v>
      </c>
      <c r="AS5" s="35" t="s">
        <v>33</v>
      </c>
      <c r="AT5" s="36">
        <f>SUMIF($B$2:$B$508,AS5,$AB$2:$AB$508)+SUMIF($B$2:$B$508,AS5,$AC$2:$AC$508)+SUMIF($B$2:$B$508,AS5,$AD$2:$AD$508)</f>
        <v>1392460.6248096013</v>
      </c>
      <c r="AU5" s="36">
        <f ca="1">SUMIF($B$2:$B$508,AS5,$AE$2:$AE$508)+SUMIF($B$2:$B$508,AS5,$AF$2:$AF$508)+SUMIF($B$2:$B$508,AS5,$AG$2:$AG$508)</f>
        <v>1368507.9725872651</v>
      </c>
      <c r="AV5" s="37">
        <f t="shared" ca="1" si="2"/>
        <v>-1.7201672920274858E-2</v>
      </c>
    </row>
    <row r="6" spans="1:48" ht="11.25" customHeight="1" x14ac:dyDescent="0.25">
      <c r="A6" s="3" t="s">
        <v>21</v>
      </c>
      <c r="B6" s="3" t="s">
        <v>35</v>
      </c>
      <c r="C6" s="3" t="s">
        <v>54</v>
      </c>
      <c r="D6" s="3" t="s">
        <v>34</v>
      </c>
      <c r="E6" s="3" t="s">
        <v>25</v>
      </c>
      <c r="F6" s="3" t="s">
        <v>55</v>
      </c>
      <c r="G6" s="3" t="s">
        <v>25</v>
      </c>
      <c r="H6" s="3" t="s">
        <v>38</v>
      </c>
      <c r="I6" s="6">
        <v>44562</v>
      </c>
      <c r="J6" s="4">
        <v>87</v>
      </c>
      <c r="K6" s="4">
        <v>43.5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56</v>
      </c>
      <c r="R6" s="3">
        <v>0</v>
      </c>
      <c r="S6" s="4">
        <v>1</v>
      </c>
      <c r="T6" s="4">
        <v>0</v>
      </c>
      <c r="U6" s="4">
        <v>0</v>
      </c>
      <c r="V6" s="4">
        <f>IF(ISERROR(VLOOKUP($S$6,'TAR FIN'!$A$1:$O$85,15,0)),0,VLOOKUP($S$6,'TAR FIN'!$A$1:$O$85,15,0))</f>
        <v>22.34</v>
      </c>
      <c r="W6" s="4">
        <f>IF(ISERROR(VLOOKUP($T$6,'TAR FIN'!$A$1:$O$85,15,0)),0,VLOOKUP($T$6,'TAR FIN'!$A$1:$O$85,15,0))</f>
        <v>0</v>
      </c>
      <c r="X6" s="4">
        <f>IF(ISERROR(VLOOKUP($U$6,'TAR FIN'!$A$1:$O$85,15,0)),0,VLOOKUP($U$6,'TAR FIN'!$A$1:$O$85,15,0))</f>
        <v>0</v>
      </c>
      <c r="Y6" s="4">
        <f ca="1">('TUSD BE'!$AM$6+'TUSD BF'!$AM$6+'TUSD CVA'!$AM$6)*1</f>
        <v>28.040256427516418</v>
      </c>
      <c r="Z6" s="4">
        <f ca="1">('TUSD BE'!$AM$7+'TUSD BF'!$AM$7+'TUSD CVA'!$AM$7)*1</f>
        <v>100.14715657738388</v>
      </c>
      <c r="AA6" s="4"/>
      <c r="AB6" s="4">
        <f>$K$6*$V$6</f>
        <v>971.79</v>
      </c>
      <c r="AC6" s="4">
        <f>$M$6*$W$6</f>
        <v>0</v>
      </c>
      <c r="AD6" s="4">
        <f>$O$6*$X$6</f>
        <v>0</v>
      </c>
      <c r="AE6" s="4">
        <f ca="1">$K$6*$Y$6</f>
        <v>1219.7511545969642</v>
      </c>
      <c r="AF6" s="4">
        <f ca="1">$M$6*$Z$6</f>
        <v>0</v>
      </c>
      <c r="AG6" s="4">
        <f>$O$6*$AA$6</f>
        <v>0</v>
      </c>
      <c r="AI6" s="35" t="s">
        <v>43</v>
      </c>
      <c r="AJ6" s="36">
        <f>SUMIF($B$2:$B$508,AI6,$AB$2:$AB$508)+SUMIF($B$2:$B$508,AI6,$AC$2:$AC$508)</f>
        <v>164608.56123000014</v>
      </c>
      <c r="AK6" s="36">
        <f ca="1">SUMIF($B$2:$B$508,AI6,$AE$2:$AE$508)+SUMIF($B$2:$B$508,AI6,$AF$2:$AF$508)</f>
        <v>195877.70068655771</v>
      </c>
      <c r="AL6" s="37">
        <f t="shared" ca="1" si="0"/>
        <v>0.18996059028100376</v>
      </c>
      <c r="AN6" s="35" t="s">
        <v>43</v>
      </c>
      <c r="AO6" s="36">
        <f>SUMIF($B$2:$B$508,AN6,$AD$2:$AD$508)</f>
        <v>119920.32354999996</v>
      </c>
      <c r="AP6" s="36">
        <f>SUMIF($B$2:$B$508,AN6,$AG$2:$AG$508)</f>
        <v>82997.197758928276</v>
      </c>
      <c r="AQ6" s="37">
        <f t="shared" si="1"/>
        <v>-0.30789714952425751</v>
      </c>
      <c r="AS6" s="35" t="s">
        <v>43</v>
      </c>
      <c r="AT6" s="36">
        <f>SUMIF($B$2:$B$508,AS6,$AB$2:$AB$508)+SUMIF($B$2:$B$508,AS6,$AC$2:$AC$508)+SUMIF($B$2:$B$508,AS6,$AD$2:$AD$508)</f>
        <v>284528.88478000008</v>
      </c>
      <c r="AU6" s="36">
        <f ca="1">SUMIF($B$2:$B$508,AS6,$AE$2:$AE$508)+SUMIF($B$2:$B$508,AS6,$AF$2:$AF$508)+SUMIF($B$2:$B$508,AS6,$AG$2:$AG$508)</f>
        <v>278874.89844548597</v>
      </c>
      <c r="AV6" s="37">
        <f t="shared" ca="1" si="2"/>
        <v>-1.9871396673437292E-2</v>
      </c>
    </row>
    <row r="7" spans="1:48" ht="11.25" customHeight="1" x14ac:dyDescent="0.25">
      <c r="A7" s="3" t="s">
        <v>21</v>
      </c>
      <c r="B7" s="3" t="s">
        <v>35</v>
      </c>
      <c r="C7" s="3" t="s">
        <v>54</v>
      </c>
      <c r="D7" s="3" t="s">
        <v>34</v>
      </c>
      <c r="E7" s="3" t="s">
        <v>25</v>
      </c>
      <c r="F7" s="3" t="s">
        <v>55</v>
      </c>
      <c r="G7" s="3" t="s">
        <v>25</v>
      </c>
      <c r="H7" s="3" t="s">
        <v>38</v>
      </c>
      <c r="I7" s="6">
        <v>44593</v>
      </c>
      <c r="J7" s="4">
        <v>91</v>
      </c>
      <c r="K7" s="4">
        <v>45.5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56</v>
      </c>
      <c r="R7" s="3">
        <v>0</v>
      </c>
      <c r="S7" s="4">
        <v>1</v>
      </c>
      <c r="T7" s="4">
        <v>0</v>
      </c>
      <c r="U7" s="4">
        <v>0</v>
      </c>
      <c r="V7" s="4">
        <f>IF(ISERROR(VLOOKUP($S$7,'TAR FIN'!$A$1:$O$85,15,0)),0,VLOOKUP($S$7,'TAR FIN'!$A$1:$O$85,15,0))</f>
        <v>22.34</v>
      </c>
      <c r="W7" s="4">
        <f>IF(ISERROR(VLOOKUP($T$7,'TAR FIN'!$A$1:$O$85,15,0)),0,VLOOKUP($T$7,'TAR FIN'!$A$1:$O$85,15,0))</f>
        <v>0</v>
      </c>
      <c r="X7" s="4">
        <f>IF(ISERROR(VLOOKUP($U$7,'TAR FIN'!$A$1:$O$85,15,0)),0,VLOOKUP($U$7,'TAR FIN'!$A$1:$O$85,15,0))</f>
        <v>0</v>
      </c>
      <c r="Y7" s="4">
        <f ca="1">('TUSD BE'!$AM$6+'TUSD BF'!$AM$6+'TUSD CVA'!$AM$6)*1</f>
        <v>28.040256427516418</v>
      </c>
      <c r="Z7" s="4">
        <f ca="1">('TUSD BE'!$AM$7+'TUSD BF'!$AM$7+'TUSD CVA'!$AM$7)*1</f>
        <v>100.14715657738388</v>
      </c>
      <c r="AA7" s="4"/>
      <c r="AB7" s="4">
        <f>$K$7*$V$7</f>
        <v>1016.47</v>
      </c>
      <c r="AC7" s="4">
        <f>$M$7*$W$7</f>
        <v>0</v>
      </c>
      <c r="AD7" s="4">
        <f>$O$7*$X$7</f>
        <v>0</v>
      </c>
      <c r="AE7" s="4">
        <f ca="1">$K$7*$Y$7</f>
        <v>1275.831667451997</v>
      </c>
      <c r="AF7" s="4">
        <f ca="1">$M$7*$Z$7</f>
        <v>0</v>
      </c>
      <c r="AG7" s="4">
        <f>$O$7*$AA$7</f>
        <v>0</v>
      </c>
      <c r="AI7" s="35" t="s">
        <v>592</v>
      </c>
      <c r="AJ7" s="36">
        <f>+$AJ$2</f>
        <v>4501255.4221699499</v>
      </c>
      <c r="AK7" s="36">
        <f ca="1">+$AK$2</f>
        <v>6059892.3159497548</v>
      </c>
      <c r="AL7" s="37">
        <f t="shared" ca="1" si="0"/>
        <v>0.34626715162687272</v>
      </c>
      <c r="AN7" s="35" t="s">
        <v>592</v>
      </c>
      <c r="AO7" s="36">
        <f>+$AO$2</f>
        <v>3750950.1486040005</v>
      </c>
      <c r="AP7" s="36">
        <f>+$AP$2</f>
        <v>2610709.6821316378</v>
      </c>
      <c r="AQ7" s="37">
        <f t="shared" si="1"/>
        <v>-0.30398710228039916</v>
      </c>
      <c r="AS7" s="35" t="s">
        <v>592</v>
      </c>
      <c r="AT7" s="36">
        <f>+$AT$2</f>
        <v>8252205.5707739498</v>
      </c>
      <c r="AU7" s="36">
        <f ca="1">+$AU$2</f>
        <v>8670601.9980813935</v>
      </c>
      <c r="AV7" s="37">
        <f t="shared" ca="1" si="2"/>
        <v>5.070116391540691E-2</v>
      </c>
    </row>
    <row r="8" spans="1:48" ht="11.25" customHeight="1" x14ac:dyDescent="0.25">
      <c r="A8" s="3" t="s">
        <v>21</v>
      </c>
      <c r="B8" s="3" t="s">
        <v>35</v>
      </c>
      <c r="C8" s="3" t="s">
        <v>54</v>
      </c>
      <c r="D8" s="3" t="s">
        <v>34</v>
      </c>
      <c r="E8" s="3" t="s">
        <v>25</v>
      </c>
      <c r="F8" s="3" t="s">
        <v>55</v>
      </c>
      <c r="G8" s="3" t="s">
        <v>25</v>
      </c>
      <c r="H8" s="3" t="s">
        <v>38</v>
      </c>
      <c r="I8" s="6">
        <v>44621</v>
      </c>
      <c r="J8" s="4">
        <v>91</v>
      </c>
      <c r="K8" s="4">
        <v>45.5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56</v>
      </c>
      <c r="R8" s="3">
        <v>0</v>
      </c>
      <c r="S8" s="4">
        <v>1</v>
      </c>
      <c r="T8" s="4">
        <v>0</v>
      </c>
      <c r="U8" s="4">
        <v>0</v>
      </c>
      <c r="V8" s="4">
        <f>IF(ISERROR(VLOOKUP($S$8,'TAR FIN'!$A$1:$O$85,15,0)),0,VLOOKUP($S$8,'TAR FIN'!$A$1:$O$85,15,0))</f>
        <v>22.34</v>
      </c>
      <c r="W8" s="4">
        <f>IF(ISERROR(VLOOKUP($T$8,'TAR FIN'!$A$1:$O$85,15,0)),0,VLOOKUP($T$8,'TAR FIN'!$A$1:$O$85,15,0))</f>
        <v>0</v>
      </c>
      <c r="X8" s="4">
        <f>IF(ISERROR(VLOOKUP($U$8,'TAR FIN'!$A$1:$O$85,15,0)),0,VLOOKUP($U$8,'TAR FIN'!$A$1:$O$85,15,0))</f>
        <v>0</v>
      </c>
      <c r="Y8" s="4">
        <f ca="1">('TUSD BE'!$AM$6+'TUSD BF'!$AM$6+'TUSD CVA'!$AM$6)*1</f>
        <v>28.040256427516418</v>
      </c>
      <c r="Z8" s="4">
        <f ca="1">('TUSD BE'!$AM$7+'TUSD BF'!$AM$7+'TUSD CVA'!$AM$7)*1</f>
        <v>100.14715657738388</v>
      </c>
      <c r="AA8" s="4"/>
      <c r="AB8" s="4">
        <f>$K$8*$V$8</f>
        <v>1016.47</v>
      </c>
      <c r="AC8" s="4">
        <f>$M$8*$W$8</f>
        <v>0</v>
      </c>
      <c r="AD8" s="4">
        <f>$O$8*$X$8</f>
        <v>0</v>
      </c>
      <c r="AE8" s="4">
        <f ca="1">$K$8*$Y$8</f>
        <v>1275.831667451997</v>
      </c>
      <c r="AF8" s="4">
        <f ca="1">$M$8*$Z$8</f>
        <v>0</v>
      </c>
      <c r="AG8" s="4">
        <f>$O$8*$AA$8</f>
        <v>0</v>
      </c>
      <c r="AI8" s="35" t="s">
        <v>82</v>
      </c>
      <c r="AJ8" s="36">
        <f>+$AJ$3+$AJ$4+$AJ$5+$AJ$6</f>
        <v>5081993.1063100006</v>
      </c>
      <c r="AK8" s="36">
        <f ca="1">+$AK$3+$AK$4+$AK$5+$AK$6</f>
        <v>6160925.3788849711</v>
      </c>
      <c r="AL8" s="37">
        <f t="shared" ca="1" si="0"/>
        <v>0.21230494611165973</v>
      </c>
      <c r="AN8" s="35" t="s">
        <v>82</v>
      </c>
      <c r="AO8" s="36">
        <f>+$AO$3+$AO$4+$AO$5+$AO$6</f>
        <v>3713321.9916996015</v>
      </c>
      <c r="AP8" s="36">
        <f>+$AP$3+$AP$4+$AP$5+$AP$6</f>
        <v>2623084.3972106855</v>
      </c>
      <c r="AQ8" s="37">
        <f t="shared" si="1"/>
        <v>-0.29360168520961205</v>
      </c>
      <c r="AS8" s="35" t="s">
        <v>82</v>
      </c>
      <c r="AT8" s="36">
        <f>+$AT$3+$AT$4+$AT$5+$AT$6</f>
        <v>8795315.0980096031</v>
      </c>
      <c r="AU8" s="36">
        <f ca="1">+$AU$3+$AU$4+$AU$5+$AU$6</f>
        <v>8784009.7760956548</v>
      </c>
      <c r="AV8" s="37">
        <f t="shared" ca="1" si="2"/>
        <v>-1.2853799764952489E-3</v>
      </c>
    </row>
    <row r="9" spans="1:48" ht="11.25" customHeight="1" x14ac:dyDescent="0.25">
      <c r="A9" s="3" t="s">
        <v>21</v>
      </c>
      <c r="B9" s="3" t="s">
        <v>35</v>
      </c>
      <c r="C9" s="3" t="s">
        <v>54</v>
      </c>
      <c r="D9" s="3" t="s">
        <v>34</v>
      </c>
      <c r="E9" s="3" t="s">
        <v>25</v>
      </c>
      <c r="F9" s="3" t="s">
        <v>55</v>
      </c>
      <c r="G9" s="3" t="s">
        <v>25</v>
      </c>
      <c r="H9" s="3" t="s">
        <v>38</v>
      </c>
      <c r="I9" s="6">
        <v>44652</v>
      </c>
      <c r="J9" s="4">
        <v>92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56</v>
      </c>
      <c r="R9" s="3">
        <v>0</v>
      </c>
      <c r="S9" s="4">
        <v>1</v>
      </c>
      <c r="T9" s="4">
        <v>0</v>
      </c>
      <c r="U9" s="4">
        <v>0</v>
      </c>
      <c r="V9" s="4">
        <f>IF(ISERROR(VLOOKUP($S$9,'TAR FIN'!$A$1:$O$85,15,0)),0,VLOOKUP($S$9,'TAR FIN'!$A$1:$O$85,15,0))</f>
        <v>22.34</v>
      </c>
      <c r="W9" s="4">
        <f>IF(ISERROR(VLOOKUP($T$9,'TAR FIN'!$A$1:$O$85,15,0)),0,VLOOKUP($T$9,'TAR FIN'!$A$1:$O$85,15,0))</f>
        <v>0</v>
      </c>
      <c r="X9" s="4">
        <f>IF(ISERROR(VLOOKUP($U$9,'TAR FIN'!$A$1:$O$85,15,0)),0,VLOOKUP($U$9,'TAR FIN'!$A$1:$O$85,15,0))</f>
        <v>0</v>
      </c>
      <c r="Y9" s="4">
        <f ca="1">('TUSD BE'!$AM$6+'TUSD BF'!$AM$6+'TUSD CVA'!$AM$6)*1</f>
        <v>28.040256427516418</v>
      </c>
      <c r="Z9" s="4">
        <f ca="1">('TUSD BE'!$AM$7+'TUSD BF'!$AM$7+'TUSD CVA'!$AM$7)*1</f>
        <v>100.14715657738388</v>
      </c>
      <c r="AA9" s="4"/>
      <c r="AB9" s="4">
        <f>$K$9*$V$9</f>
        <v>1027.6400000000001</v>
      </c>
      <c r="AC9" s="4">
        <f>$M$9*$W$9</f>
        <v>0</v>
      </c>
      <c r="AD9" s="4">
        <f>$O$9*$X$9</f>
        <v>0</v>
      </c>
      <c r="AE9" s="4">
        <f ca="1">$K$9*$Y$9</f>
        <v>1289.8517956657552</v>
      </c>
      <c r="AF9" s="4">
        <f ca="1">$M$9*$Z$9</f>
        <v>0</v>
      </c>
      <c r="AG9" s="4">
        <f>$O$9*$AA$9</f>
        <v>0</v>
      </c>
      <c r="AI9" s="35" t="s">
        <v>593</v>
      </c>
      <c r="AJ9" s="36">
        <f>AJ8+AJ7</f>
        <v>9583248.5284799505</v>
      </c>
      <c r="AK9" s="36">
        <f ca="1">AK8+AK7</f>
        <v>12220817.694834726</v>
      </c>
      <c r="AL9" s="37">
        <f t="shared" ca="1" si="0"/>
        <v>0.27522704420284239</v>
      </c>
      <c r="AN9" s="35" t="s">
        <v>593</v>
      </c>
      <c r="AO9" s="36">
        <f>AO8+AO7</f>
        <v>7464272.1403036024</v>
      </c>
      <c r="AP9" s="36">
        <f>AP8+AP7</f>
        <v>5233794.0793423234</v>
      </c>
      <c r="AQ9" s="37">
        <f t="shared" si="1"/>
        <v>-0.2988205707181727</v>
      </c>
      <c r="AS9" s="35" t="s">
        <v>593</v>
      </c>
      <c r="AT9" s="36">
        <f>AT8+AT7</f>
        <v>17047520.668783553</v>
      </c>
      <c r="AU9" s="36">
        <f ca="1">AU8+AU7</f>
        <v>17454611.774177048</v>
      </c>
      <c r="AV9" s="37">
        <f t="shared" ca="1" si="2"/>
        <v>2.3879783653170117E-2</v>
      </c>
    </row>
    <row r="10" spans="1:48" ht="11.25" customHeight="1" x14ac:dyDescent="0.25">
      <c r="A10" s="3" t="s">
        <v>21</v>
      </c>
      <c r="B10" s="3" t="s">
        <v>35</v>
      </c>
      <c r="C10" s="3" t="s">
        <v>54</v>
      </c>
      <c r="D10" s="3" t="s">
        <v>34</v>
      </c>
      <c r="E10" s="3" t="s">
        <v>25</v>
      </c>
      <c r="F10" s="3" t="s">
        <v>55</v>
      </c>
      <c r="G10" s="3" t="s">
        <v>25</v>
      </c>
      <c r="H10" s="3" t="s">
        <v>38</v>
      </c>
      <c r="I10" s="6">
        <v>44682</v>
      </c>
      <c r="J10" s="4">
        <v>87</v>
      </c>
      <c r="K10" s="4">
        <v>43.5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56</v>
      </c>
      <c r="R10" s="3">
        <v>0</v>
      </c>
      <c r="S10" s="4">
        <v>1</v>
      </c>
      <c r="T10" s="4">
        <v>0</v>
      </c>
      <c r="U10" s="4">
        <v>0</v>
      </c>
      <c r="V10" s="4">
        <f>IF(ISERROR(VLOOKUP($S$10,'TAR FIN'!$A$1:$O$85,15,0)),0,VLOOKUP($S$10,'TAR FIN'!$A$1:$O$85,15,0))</f>
        <v>22.34</v>
      </c>
      <c r="W10" s="4">
        <f>IF(ISERROR(VLOOKUP($T$10,'TAR FIN'!$A$1:$O$85,15,0)),0,VLOOKUP($T$10,'TAR FIN'!$A$1:$O$85,15,0))</f>
        <v>0</v>
      </c>
      <c r="X10" s="4">
        <f>IF(ISERROR(VLOOKUP($U$10,'TAR FIN'!$A$1:$O$85,15,0)),0,VLOOKUP($U$10,'TAR FIN'!$A$1:$O$85,15,0))</f>
        <v>0</v>
      </c>
      <c r="Y10" s="4">
        <f ca="1">('TUSD BE'!$AM$6+'TUSD BF'!$AM$6+'TUSD CVA'!$AM$6)*1</f>
        <v>28.040256427516418</v>
      </c>
      <c r="Z10" s="4">
        <f ca="1">('TUSD BE'!$AM$7+'TUSD BF'!$AM$7+'TUSD CVA'!$AM$7)*1</f>
        <v>100.14715657738388</v>
      </c>
      <c r="AA10" s="4"/>
      <c r="AB10" s="4">
        <f>$K$10*$V$10</f>
        <v>971.79</v>
      </c>
      <c r="AC10" s="4">
        <f>$M$10*$W$10</f>
        <v>0</v>
      </c>
      <c r="AD10" s="4">
        <f>$O$10*$X$10</f>
        <v>0</v>
      </c>
      <c r="AE10" s="4">
        <f ca="1">$K$10*$Y$10</f>
        <v>1219.7511545969642</v>
      </c>
      <c r="AF10" s="4">
        <f ca="1">$M$10*$Z$10</f>
        <v>0</v>
      </c>
      <c r="AG10" s="4">
        <f>$O$10*$AA$10</f>
        <v>0</v>
      </c>
    </row>
    <row r="11" spans="1:48" ht="11.25" customHeight="1" x14ac:dyDescent="0.25">
      <c r="A11" s="3" t="s">
        <v>21</v>
      </c>
      <c r="B11" s="3" t="s">
        <v>35</v>
      </c>
      <c r="C11" s="3" t="s">
        <v>54</v>
      </c>
      <c r="D11" s="3" t="s">
        <v>34</v>
      </c>
      <c r="E11" s="3" t="s">
        <v>25</v>
      </c>
      <c r="F11" s="3" t="s">
        <v>55</v>
      </c>
      <c r="G11" s="3" t="s">
        <v>25</v>
      </c>
      <c r="H11" s="3" t="s">
        <v>38</v>
      </c>
      <c r="I11" s="6">
        <v>44713</v>
      </c>
      <c r="J11" s="4">
        <v>94</v>
      </c>
      <c r="K11" s="4">
        <v>47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56</v>
      </c>
      <c r="R11" s="3">
        <v>0</v>
      </c>
      <c r="S11" s="4">
        <v>1</v>
      </c>
      <c r="T11" s="4">
        <v>0</v>
      </c>
      <c r="U11" s="4">
        <v>0</v>
      </c>
      <c r="V11" s="4">
        <f>IF(ISERROR(VLOOKUP($S$11,'TAR FIN'!$A$1:$O$85,15,0)),0,VLOOKUP($S$11,'TAR FIN'!$A$1:$O$85,15,0))</f>
        <v>22.34</v>
      </c>
      <c r="W11" s="4">
        <f>IF(ISERROR(VLOOKUP($T$11,'TAR FIN'!$A$1:$O$85,15,0)),0,VLOOKUP($T$11,'TAR FIN'!$A$1:$O$85,15,0))</f>
        <v>0</v>
      </c>
      <c r="X11" s="4">
        <f>IF(ISERROR(VLOOKUP($U$11,'TAR FIN'!$A$1:$O$85,15,0)),0,VLOOKUP($U$11,'TAR FIN'!$A$1:$O$85,15,0))</f>
        <v>0</v>
      </c>
      <c r="Y11" s="4">
        <f ca="1">('TUSD BE'!$AM$6+'TUSD BF'!$AM$6+'TUSD CVA'!$AM$6)*1</f>
        <v>28.040256427516418</v>
      </c>
      <c r="Z11" s="4">
        <f ca="1">('TUSD BE'!$AM$7+'TUSD BF'!$AM$7+'TUSD CVA'!$AM$7)*1</f>
        <v>100.14715657738388</v>
      </c>
      <c r="AA11" s="4"/>
      <c r="AB11" s="4">
        <f>$K$11*$V$11</f>
        <v>1049.98</v>
      </c>
      <c r="AC11" s="4">
        <f>$M$11*$W$11</f>
        <v>0</v>
      </c>
      <c r="AD11" s="4">
        <f>$O$11*$X$11</f>
        <v>0</v>
      </c>
      <c r="AE11" s="4">
        <f ca="1">$K$11*$Y$11</f>
        <v>1317.8920520932716</v>
      </c>
      <c r="AF11" s="4">
        <f ca="1">$M$11*$Z$11</f>
        <v>0</v>
      </c>
      <c r="AG11" s="4">
        <f>$O$11*$AA$11</f>
        <v>0</v>
      </c>
      <c r="AU11" s="58">
        <f ca="1">AU9+SUBSIDIO!AJ12</f>
        <v>19048855.527382281</v>
      </c>
    </row>
    <row r="12" spans="1:48" ht="11.25" customHeight="1" x14ac:dyDescent="0.25">
      <c r="A12" s="3" t="s">
        <v>21</v>
      </c>
      <c r="B12" s="3" t="s">
        <v>35</v>
      </c>
      <c r="C12" s="3" t="s">
        <v>54</v>
      </c>
      <c r="D12" s="3" t="s">
        <v>34</v>
      </c>
      <c r="E12" s="3" t="s">
        <v>25</v>
      </c>
      <c r="F12" s="3" t="s">
        <v>55</v>
      </c>
      <c r="G12" s="3" t="s">
        <v>25</v>
      </c>
      <c r="H12" s="3" t="s">
        <v>38</v>
      </c>
      <c r="I12" s="6">
        <v>44743</v>
      </c>
      <c r="J12" s="4">
        <v>99</v>
      </c>
      <c r="K12" s="4">
        <v>49.5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56</v>
      </c>
      <c r="R12" s="3">
        <v>0</v>
      </c>
      <c r="S12" s="4">
        <v>1</v>
      </c>
      <c r="T12" s="4">
        <v>0</v>
      </c>
      <c r="U12" s="4">
        <v>0</v>
      </c>
      <c r="V12" s="4">
        <f>IF(ISERROR(VLOOKUP($S$12,'TAR FIN'!$A$1:$O$85,15,0)),0,VLOOKUP($S$12,'TAR FIN'!$A$1:$O$85,15,0))</f>
        <v>22.34</v>
      </c>
      <c r="W12" s="4">
        <f>IF(ISERROR(VLOOKUP($T$12,'TAR FIN'!$A$1:$O$85,15,0)),0,VLOOKUP($T$12,'TAR FIN'!$A$1:$O$85,15,0))</f>
        <v>0</v>
      </c>
      <c r="X12" s="4">
        <f>IF(ISERROR(VLOOKUP($U$12,'TAR FIN'!$A$1:$O$85,15,0)),0,VLOOKUP($U$12,'TAR FIN'!$A$1:$O$85,15,0))</f>
        <v>0</v>
      </c>
      <c r="Y12" s="4">
        <f ca="1">('TUSD BE'!$AM$6+'TUSD BF'!$AM$6+'TUSD CVA'!$AM$6)*1</f>
        <v>28.040256427516418</v>
      </c>
      <c r="Z12" s="4">
        <f ca="1">('TUSD BE'!$AM$7+'TUSD BF'!$AM$7+'TUSD CVA'!$AM$7)*1</f>
        <v>100.14715657738388</v>
      </c>
      <c r="AA12" s="4"/>
      <c r="AB12" s="4">
        <f>$K$12*$V$12</f>
        <v>1105.83</v>
      </c>
      <c r="AC12" s="4">
        <f>$M$12*$W$12</f>
        <v>0</v>
      </c>
      <c r="AD12" s="4">
        <f>$O$12*$X$12</f>
        <v>0</v>
      </c>
      <c r="AE12" s="4">
        <f ca="1">$K$12*$Y$12</f>
        <v>1387.9926931620628</v>
      </c>
      <c r="AF12" s="4">
        <f ca="1">$M$12*$Z$12</f>
        <v>0</v>
      </c>
      <c r="AG12" s="4">
        <f>$O$12*$AA$12</f>
        <v>0</v>
      </c>
    </row>
    <row r="13" spans="1:48" ht="11.25" customHeight="1" x14ac:dyDescent="0.25">
      <c r="A13" s="3" t="s">
        <v>21</v>
      </c>
      <c r="B13" s="3" t="s">
        <v>35</v>
      </c>
      <c r="C13" s="3" t="s">
        <v>54</v>
      </c>
      <c r="D13" s="3" t="s">
        <v>34</v>
      </c>
      <c r="E13" s="3" t="s">
        <v>25</v>
      </c>
      <c r="F13" s="3" t="s">
        <v>55</v>
      </c>
      <c r="G13" s="3" t="s">
        <v>25</v>
      </c>
      <c r="H13" s="3" t="s">
        <v>38</v>
      </c>
      <c r="I13" s="6">
        <v>44774</v>
      </c>
      <c r="J13" s="4">
        <v>87</v>
      </c>
      <c r="K13" s="4">
        <v>43.5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56</v>
      </c>
      <c r="R13" s="3">
        <v>0</v>
      </c>
      <c r="S13" s="4">
        <v>1</v>
      </c>
      <c r="T13" s="4">
        <v>0</v>
      </c>
      <c r="U13" s="4">
        <v>0</v>
      </c>
      <c r="V13" s="4">
        <f>IF(ISERROR(VLOOKUP($S$13,'TAR FIN'!$A$1:$O$85,15,0)),0,VLOOKUP($S$13,'TAR FIN'!$A$1:$O$85,15,0))</f>
        <v>22.34</v>
      </c>
      <c r="W13" s="4">
        <f>IF(ISERROR(VLOOKUP($T$13,'TAR FIN'!$A$1:$O$85,15,0)),0,VLOOKUP($T$13,'TAR FIN'!$A$1:$O$85,15,0))</f>
        <v>0</v>
      </c>
      <c r="X13" s="4">
        <f>IF(ISERROR(VLOOKUP($U$13,'TAR FIN'!$A$1:$O$85,15,0)),0,VLOOKUP($U$13,'TAR FIN'!$A$1:$O$85,15,0))</f>
        <v>0</v>
      </c>
      <c r="Y13" s="4">
        <f ca="1">('TUSD BE'!$AM$6+'TUSD BF'!$AM$6+'TUSD CVA'!$AM$6)*1</f>
        <v>28.040256427516418</v>
      </c>
      <c r="Z13" s="4">
        <f ca="1">('TUSD BE'!$AM$7+'TUSD BF'!$AM$7+'TUSD CVA'!$AM$7)*1</f>
        <v>100.14715657738388</v>
      </c>
      <c r="AA13" s="4"/>
      <c r="AB13" s="4">
        <f>$K$13*$V$13</f>
        <v>971.79</v>
      </c>
      <c r="AC13" s="4">
        <f>$M$13*$W$13</f>
        <v>0</v>
      </c>
      <c r="AD13" s="4">
        <f>$O$13*$X$13</f>
        <v>0</v>
      </c>
      <c r="AE13" s="4">
        <f ca="1">$K$13*$Y$13</f>
        <v>1219.7511545969642</v>
      </c>
      <c r="AF13" s="4">
        <f ca="1">$M$13*$Z$13</f>
        <v>0</v>
      </c>
      <c r="AG13" s="4">
        <f>$O$13*$AA$13</f>
        <v>0</v>
      </c>
    </row>
    <row r="14" spans="1:48" ht="11.25" customHeight="1" x14ac:dyDescent="0.25">
      <c r="A14" s="3" t="s">
        <v>21</v>
      </c>
      <c r="B14" s="3" t="s">
        <v>35</v>
      </c>
      <c r="C14" s="3" t="s">
        <v>54</v>
      </c>
      <c r="D14" s="3" t="s">
        <v>34</v>
      </c>
      <c r="E14" s="3" t="s">
        <v>25</v>
      </c>
      <c r="F14" s="3" t="s">
        <v>55</v>
      </c>
      <c r="G14" s="3" t="s">
        <v>25</v>
      </c>
      <c r="H14" s="3" t="s">
        <v>25</v>
      </c>
      <c r="I14" s="6">
        <v>44440</v>
      </c>
      <c r="J14" s="4">
        <v>0</v>
      </c>
      <c r="K14" s="4">
        <v>0</v>
      </c>
      <c r="L14" s="4">
        <v>45.453000000000003</v>
      </c>
      <c r="M14" s="4">
        <v>45.453000000000003</v>
      </c>
      <c r="N14" s="4">
        <v>0</v>
      </c>
      <c r="O14" s="4">
        <v>0</v>
      </c>
      <c r="P14" s="4">
        <v>1</v>
      </c>
      <c r="Q14" s="3" t="s">
        <v>56</v>
      </c>
      <c r="R14" s="3">
        <v>0</v>
      </c>
      <c r="S14" s="4">
        <v>0</v>
      </c>
      <c r="T14" s="4">
        <v>4</v>
      </c>
      <c r="U14" s="4">
        <v>0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56.92</v>
      </c>
      <c r="X14" s="4">
        <f>IF(ISERROR(VLOOKUP($U$14,'TAR FIN'!$A$1:$O$85,15,0)),0,VLOOKUP($U$14,'TAR FIN'!$A$1:$O$85,15,0))</f>
        <v>0</v>
      </c>
      <c r="Y14" s="4"/>
      <c r="Z14" s="4">
        <f ca="1">('TUSD BE'!$AM$7+'TUSD BF'!$AM$7+'TUSD CVA'!$AM$7)*1</f>
        <v>100.14715657738388</v>
      </c>
      <c r="AA14" s="4"/>
      <c r="AB14" s="4">
        <f>$K$14*$V$14</f>
        <v>0</v>
      </c>
      <c r="AC14" s="4">
        <f>$M$14*$W$14</f>
        <v>2587.1847600000001</v>
      </c>
      <c r="AD14" s="4">
        <f>$O$14*$X$14</f>
        <v>0</v>
      </c>
      <c r="AE14" s="4">
        <f>$K$14*$Y$14</f>
        <v>0</v>
      </c>
      <c r="AF14" s="4">
        <f ca="1">$M$14*$Z$14</f>
        <v>4551.9887079118298</v>
      </c>
      <c r="AG14" s="4">
        <f>$O$14*$AA$14</f>
        <v>0</v>
      </c>
    </row>
    <row r="15" spans="1:48" ht="11.25" customHeight="1" x14ac:dyDescent="0.25">
      <c r="A15" s="3" t="s">
        <v>21</v>
      </c>
      <c r="B15" s="3" t="s">
        <v>35</v>
      </c>
      <c r="C15" s="3" t="s">
        <v>54</v>
      </c>
      <c r="D15" s="3" t="s">
        <v>34</v>
      </c>
      <c r="E15" s="3" t="s">
        <v>25</v>
      </c>
      <c r="F15" s="3" t="s">
        <v>55</v>
      </c>
      <c r="G15" s="3" t="s">
        <v>25</v>
      </c>
      <c r="H15" s="3" t="s">
        <v>25</v>
      </c>
      <c r="I15" s="6">
        <v>44470</v>
      </c>
      <c r="J15" s="4">
        <v>0</v>
      </c>
      <c r="K15" s="4">
        <v>0</v>
      </c>
      <c r="L15" s="4">
        <v>46.8</v>
      </c>
      <c r="M15" s="4">
        <v>46.8</v>
      </c>
      <c r="N15" s="4">
        <v>0</v>
      </c>
      <c r="O15" s="4">
        <v>0</v>
      </c>
      <c r="P15" s="4">
        <v>1</v>
      </c>
      <c r="Q15" s="3" t="s">
        <v>56</v>
      </c>
      <c r="R15" s="3">
        <v>0</v>
      </c>
      <c r="S15" s="4">
        <v>0</v>
      </c>
      <c r="T15" s="4">
        <v>4</v>
      </c>
      <c r="U15" s="4">
        <v>0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56.92</v>
      </c>
      <c r="X15" s="4">
        <f>IF(ISERROR(VLOOKUP($U$15,'TAR FIN'!$A$1:$O$85,15,0)),0,VLOOKUP($U$15,'TAR FIN'!$A$1:$O$85,15,0))</f>
        <v>0</v>
      </c>
      <c r="Y15" s="4"/>
      <c r="Z15" s="4">
        <f ca="1">('TUSD BE'!$AM$7+'TUSD BF'!$AM$7+'TUSD CVA'!$AM$7)*1</f>
        <v>100.14715657738388</v>
      </c>
      <c r="AA15" s="4"/>
      <c r="AB15" s="4">
        <f>$K$15*$V$15</f>
        <v>0</v>
      </c>
      <c r="AC15" s="4">
        <f>$M$15*$W$15</f>
        <v>2663.8559999999998</v>
      </c>
      <c r="AD15" s="4">
        <f>$O$15*$X$15</f>
        <v>0</v>
      </c>
      <c r="AE15" s="4">
        <f>$K$15*$Y$15</f>
        <v>0</v>
      </c>
      <c r="AF15" s="4">
        <f ca="1">$M$15*$Z$15</f>
        <v>4686.8869278215652</v>
      </c>
      <c r="AG15" s="4">
        <f>$O$15*$AA$15</f>
        <v>0</v>
      </c>
    </row>
    <row r="16" spans="1:48" ht="11.25" customHeight="1" x14ac:dyDescent="0.25">
      <c r="A16" s="3" t="s">
        <v>21</v>
      </c>
      <c r="B16" s="3" t="s">
        <v>35</v>
      </c>
      <c r="C16" s="3" t="s">
        <v>54</v>
      </c>
      <c r="D16" s="3" t="s">
        <v>34</v>
      </c>
      <c r="E16" s="3" t="s">
        <v>25</v>
      </c>
      <c r="F16" s="3" t="s">
        <v>55</v>
      </c>
      <c r="G16" s="3" t="s">
        <v>25</v>
      </c>
      <c r="H16" s="3" t="s">
        <v>25</v>
      </c>
      <c r="I16" s="6">
        <v>44501</v>
      </c>
      <c r="J16" s="4">
        <v>0</v>
      </c>
      <c r="K16" s="4">
        <v>0</v>
      </c>
      <c r="L16" s="4">
        <v>47.036000000000001</v>
      </c>
      <c r="M16" s="4">
        <v>47.036000000000001</v>
      </c>
      <c r="N16" s="4">
        <v>0</v>
      </c>
      <c r="O16" s="4">
        <v>0</v>
      </c>
      <c r="P16" s="4">
        <v>1</v>
      </c>
      <c r="Q16" s="3" t="s">
        <v>56</v>
      </c>
      <c r="R16" s="3">
        <v>0</v>
      </c>
      <c r="S16" s="4">
        <v>0</v>
      </c>
      <c r="T16" s="4">
        <v>4</v>
      </c>
      <c r="U16" s="4">
        <v>0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56.92</v>
      </c>
      <c r="X16" s="4">
        <f>IF(ISERROR(VLOOKUP($U$16,'TAR FIN'!$A$1:$O$85,15,0)),0,VLOOKUP($U$16,'TAR FIN'!$A$1:$O$85,15,0))</f>
        <v>0</v>
      </c>
      <c r="Y16" s="4"/>
      <c r="Z16" s="4">
        <f ca="1">('TUSD BE'!$AM$7+'TUSD BF'!$AM$7+'TUSD CVA'!$AM$7)*1</f>
        <v>100.14715657738388</v>
      </c>
      <c r="AA16" s="4"/>
      <c r="AB16" s="4">
        <f>$K$16*$V$16</f>
        <v>0</v>
      </c>
      <c r="AC16" s="4">
        <f>$M$16*$W$16</f>
        <v>2677.2891200000004</v>
      </c>
      <c r="AD16" s="4">
        <f>$O$16*$X$16</f>
        <v>0</v>
      </c>
      <c r="AE16" s="4">
        <f>$K$16*$Y$16</f>
        <v>0</v>
      </c>
      <c r="AF16" s="4">
        <f ca="1">$M$16*$Z$16</f>
        <v>4710.521656773828</v>
      </c>
      <c r="AG16" s="4">
        <f>$O$16*$AA$16</f>
        <v>0</v>
      </c>
    </row>
    <row r="17" spans="1:33" ht="11.25" customHeight="1" x14ac:dyDescent="0.25">
      <c r="A17" s="3" t="s">
        <v>21</v>
      </c>
      <c r="B17" s="3" t="s">
        <v>35</v>
      </c>
      <c r="C17" s="3" t="s">
        <v>54</v>
      </c>
      <c r="D17" s="3" t="s">
        <v>34</v>
      </c>
      <c r="E17" s="3" t="s">
        <v>25</v>
      </c>
      <c r="F17" s="3" t="s">
        <v>55</v>
      </c>
      <c r="G17" s="3" t="s">
        <v>25</v>
      </c>
      <c r="H17" s="3" t="s">
        <v>25</v>
      </c>
      <c r="I17" s="6">
        <v>44531</v>
      </c>
      <c r="J17" s="4">
        <v>0</v>
      </c>
      <c r="K17" s="4">
        <v>0</v>
      </c>
      <c r="L17" s="4">
        <v>48.454999999999998</v>
      </c>
      <c r="M17" s="4">
        <v>48.454999999999998</v>
      </c>
      <c r="N17" s="4">
        <v>0</v>
      </c>
      <c r="O17" s="4">
        <v>0</v>
      </c>
      <c r="P17" s="4">
        <v>1</v>
      </c>
      <c r="Q17" s="3" t="s">
        <v>56</v>
      </c>
      <c r="R17" s="3">
        <v>0</v>
      </c>
      <c r="S17" s="4">
        <v>0</v>
      </c>
      <c r="T17" s="4">
        <v>4</v>
      </c>
      <c r="U17" s="4">
        <v>0</v>
      </c>
      <c r="V17" s="4">
        <f>IF(ISERROR(VLOOKUP($S$17,'TAR FIN'!$A$1:$O$85,15,0)),0,VLOOKUP($S$17,'TAR FIN'!$A$1:$O$85,15,0))</f>
        <v>0</v>
      </c>
      <c r="W17" s="4">
        <f>IF(ISERROR(VLOOKUP($T$17,'TAR FIN'!$A$1:$O$85,15,0)),0,VLOOKUP($T$17,'TAR FIN'!$A$1:$O$85,15,0))</f>
        <v>56.92</v>
      </c>
      <c r="X17" s="4">
        <f>IF(ISERROR(VLOOKUP($U$17,'TAR FIN'!$A$1:$O$85,15,0)),0,VLOOKUP($U$17,'TAR FIN'!$A$1:$O$85,15,0))</f>
        <v>0</v>
      </c>
      <c r="Y17" s="4"/>
      <c r="Z17" s="4">
        <f ca="1">('TUSD BE'!$AM$7+'TUSD BF'!$AM$7+'TUSD CVA'!$AM$7)*1</f>
        <v>100.14715657738388</v>
      </c>
      <c r="AA17" s="4"/>
      <c r="AB17" s="4">
        <f>$K$17*$V$17</f>
        <v>0</v>
      </c>
      <c r="AC17" s="4">
        <f>$M$17*$W$17</f>
        <v>2758.0585999999998</v>
      </c>
      <c r="AD17" s="4">
        <f>$O$17*$X$17</f>
        <v>0</v>
      </c>
      <c r="AE17" s="4">
        <f>$K$17*$Y$17</f>
        <v>0</v>
      </c>
      <c r="AF17" s="4">
        <f ca="1">$M$17*$Z$17</f>
        <v>4852.6304719571363</v>
      </c>
      <c r="AG17" s="4">
        <f>$O$17*$AA$17</f>
        <v>0</v>
      </c>
    </row>
    <row r="18" spans="1:33" ht="11.25" customHeight="1" x14ac:dyDescent="0.25">
      <c r="A18" s="3" t="s">
        <v>21</v>
      </c>
      <c r="B18" s="3" t="s">
        <v>35</v>
      </c>
      <c r="C18" s="3" t="s">
        <v>54</v>
      </c>
      <c r="D18" s="3" t="s">
        <v>34</v>
      </c>
      <c r="E18" s="3" t="s">
        <v>25</v>
      </c>
      <c r="F18" s="3" t="s">
        <v>55</v>
      </c>
      <c r="G18" s="3" t="s">
        <v>25</v>
      </c>
      <c r="H18" s="3" t="s">
        <v>25</v>
      </c>
      <c r="I18" s="6">
        <v>44562</v>
      </c>
      <c r="J18" s="4">
        <v>0</v>
      </c>
      <c r="K18" s="4">
        <v>0</v>
      </c>
      <c r="L18" s="4">
        <v>46.819000000000003</v>
      </c>
      <c r="M18" s="4">
        <v>46.819000000000003</v>
      </c>
      <c r="N18" s="4">
        <v>0</v>
      </c>
      <c r="O18" s="4">
        <v>0</v>
      </c>
      <c r="P18" s="4">
        <v>1</v>
      </c>
      <c r="Q18" s="3" t="s">
        <v>56</v>
      </c>
      <c r="R18" s="3">
        <v>0</v>
      </c>
      <c r="S18" s="4">
        <v>0</v>
      </c>
      <c r="T18" s="4">
        <v>4</v>
      </c>
      <c r="U18" s="4">
        <v>0</v>
      </c>
      <c r="V18" s="4">
        <f>IF(ISERROR(VLOOKUP($S$18,'TAR FIN'!$A$1:$O$85,15,0)),0,VLOOKUP($S$18,'TAR FIN'!$A$1:$O$85,15,0))</f>
        <v>0</v>
      </c>
      <c r="W18" s="4">
        <f>IF(ISERROR(VLOOKUP($T$18,'TAR FIN'!$A$1:$O$85,15,0)),0,VLOOKUP($T$18,'TAR FIN'!$A$1:$O$85,15,0))</f>
        <v>56.92</v>
      </c>
      <c r="X18" s="4">
        <f>IF(ISERROR(VLOOKUP($U$18,'TAR FIN'!$A$1:$O$85,15,0)),0,VLOOKUP($U$18,'TAR FIN'!$A$1:$O$85,15,0))</f>
        <v>0</v>
      </c>
      <c r="Y18" s="4"/>
      <c r="Z18" s="4">
        <f ca="1">('TUSD BE'!$AM$7+'TUSD BF'!$AM$7+'TUSD CVA'!$AM$7)*1</f>
        <v>100.14715657738388</v>
      </c>
      <c r="AA18" s="4"/>
      <c r="AB18" s="4">
        <f>$K$18*$V$18</f>
        <v>0</v>
      </c>
      <c r="AC18" s="4">
        <f>$M$18*$W$18</f>
        <v>2664.9374800000001</v>
      </c>
      <c r="AD18" s="4">
        <f>$O$18*$X$18</f>
        <v>0</v>
      </c>
      <c r="AE18" s="4">
        <f>$K$18*$Y$18</f>
        <v>0</v>
      </c>
      <c r="AF18" s="4">
        <f ca="1">$M$18*$Z$18</f>
        <v>4688.7897237965362</v>
      </c>
      <c r="AG18" s="4">
        <f>$O$18*$AA$18</f>
        <v>0</v>
      </c>
    </row>
    <row r="19" spans="1:33" ht="11.25" customHeight="1" x14ac:dyDescent="0.25">
      <c r="A19" s="3" t="s">
        <v>21</v>
      </c>
      <c r="B19" s="3" t="s">
        <v>35</v>
      </c>
      <c r="C19" s="3" t="s">
        <v>54</v>
      </c>
      <c r="D19" s="3" t="s">
        <v>34</v>
      </c>
      <c r="E19" s="3" t="s">
        <v>25</v>
      </c>
      <c r="F19" s="3" t="s">
        <v>55</v>
      </c>
      <c r="G19" s="3" t="s">
        <v>25</v>
      </c>
      <c r="H19" s="3" t="s">
        <v>25</v>
      </c>
      <c r="I19" s="6">
        <v>44593</v>
      </c>
      <c r="J19" s="4">
        <v>0</v>
      </c>
      <c r="K19" s="4">
        <v>0</v>
      </c>
      <c r="L19" s="4">
        <v>42.377000000000002</v>
      </c>
      <c r="M19" s="4">
        <v>42.377000000000002</v>
      </c>
      <c r="N19" s="4">
        <v>0</v>
      </c>
      <c r="O19" s="4">
        <v>0</v>
      </c>
      <c r="P19" s="4">
        <v>1</v>
      </c>
      <c r="Q19" s="3" t="s">
        <v>56</v>
      </c>
      <c r="R19" s="3">
        <v>0</v>
      </c>
      <c r="S19" s="4">
        <v>0</v>
      </c>
      <c r="T19" s="4">
        <v>4</v>
      </c>
      <c r="U19" s="4">
        <v>0</v>
      </c>
      <c r="V19" s="4">
        <f>IF(ISERROR(VLOOKUP($S$19,'TAR FIN'!$A$1:$O$85,15,0)),0,VLOOKUP($S$19,'TAR FIN'!$A$1:$O$85,15,0))</f>
        <v>0</v>
      </c>
      <c r="W19" s="4">
        <f>IF(ISERROR(VLOOKUP($T$19,'TAR FIN'!$A$1:$O$85,15,0)),0,VLOOKUP($T$19,'TAR FIN'!$A$1:$O$85,15,0))</f>
        <v>56.92</v>
      </c>
      <c r="X19" s="4">
        <f>IF(ISERROR(VLOOKUP($U$19,'TAR FIN'!$A$1:$O$85,15,0)),0,VLOOKUP($U$19,'TAR FIN'!$A$1:$O$85,15,0))</f>
        <v>0</v>
      </c>
      <c r="Y19" s="4"/>
      <c r="Z19" s="4">
        <f ca="1">('TUSD BE'!$AM$7+'TUSD BF'!$AM$7+'TUSD CVA'!$AM$7)*1</f>
        <v>100.14715657738388</v>
      </c>
      <c r="AA19" s="4"/>
      <c r="AB19" s="4">
        <f>$K$19*$V$19</f>
        <v>0</v>
      </c>
      <c r="AC19" s="4">
        <f>$M$19*$W$19</f>
        <v>2412.0988400000001</v>
      </c>
      <c r="AD19" s="4">
        <f>$O$19*$X$19</f>
        <v>0</v>
      </c>
      <c r="AE19" s="4">
        <f>$K$19*$Y$19</f>
        <v>0</v>
      </c>
      <c r="AF19" s="4">
        <f ca="1">$M$19*$Z$19</f>
        <v>4243.9360542797967</v>
      </c>
      <c r="AG19" s="4">
        <f>$O$19*$AA$19</f>
        <v>0</v>
      </c>
    </row>
    <row r="20" spans="1:33" ht="11.25" customHeight="1" x14ac:dyDescent="0.25">
      <c r="A20" s="3" t="s">
        <v>21</v>
      </c>
      <c r="B20" s="3" t="s">
        <v>35</v>
      </c>
      <c r="C20" s="3" t="s">
        <v>54</v>
      </c>
      <c r="D20" s="3" t="s">
        <v>34</v>
      </c>
      <c r="E20" s="3" t="s">
        <v>25</v>
      </c>
      <c r="F20" s="3" t="s">
        <v>55</v>
      </c>
      <c r="G20" s="3" t="s">
        <v>25</v>
      </c>
      <c r="H20" s="3" t="s">
        <v>25</v>
      </c>
      <c r="I20" s="6">
        <v>44621</v>
      </c>
      <c r="J20" s="4">
        <v>0</v>
      </c>
      <c r="K20" s="4">
        <v>0</v>
      </c>
      <c r="L20" s="4">
        <v>49.387</v>
      </c>
      <c r="M20" s="4">
        <v>49.387</v>
      </c>
      <c r="N20" s="4">
        <v>0</v>
      </c>
      <c r="O20" s="4">
        <v>0</v>
      </c>
      <c r="P20" s="4">
        <v>1</v>
      </c>
      <c r="Q20" s="3" t="s">
        <v>56</v>
      </c>
      <c r="R20" s="3">
        <v>0</v>
      </c>
      <c r="S20" s="4">
        <v>0</v>
      </c>
      <c r="T20" s="4">
        <v>4</v>
      </c>
      <c r="U20" s="4">
        <v>0</v>
      </c>
      <c r="V20" s="4">
        <f>IF(ISERROR(VLOOKUP($S$20,'TAR FIN'!$A$1:$O$85,15,0)),0,VLOOKUP($S$20,'TAR FIN'!$A$1:$O$85,15,0))</f>
        <v>0</v>
      </c>
      <c r="W20" s="4">
        <f>IF(ISERROR(VLOOKUP($T$20,'TAR FIN'!$A$1:$O$85,15,0)),0,VLOOKUP($T$20,'TAR FIN'!$A$1:$O$85,15,0))</f>
        <v>56.92</v>
      </c>
      <c r="X20" s="4">
        <f>IF(ISERROR(VLOOKUP($U$20,'TAR FIN'!$A$1:$O$85,15,0)),0,VLOOKUP($U$20,'TAR FIN'!$A$1:$O$85,15,0))</f>
        <v>0</v>
      </c>
      <c r="Y20" s="4"/>
      <c r="Z20" s="4">
        <f ca="1">('TUSD BE'!$AM$7+'TUSD BF'!$AM$7+'TUSD CVA'!$AM$7)*1</f>
        <v>100.14715657738388</v>
      </c>
      <c r="AA20" s="4"/>
      <c r="AB20" s="4">
        <f>$K$20*$V$20</f>
        <v>0</v>
      </c>
      <c r="AC20" s="4">
        <f>$M$20*$W$20</f>
        <v>2811.1080400000001</v>
      </c>
      <c r="AD20" s="4">
        <f>$O$20*$X$20</f>
        <v>0</v>
      </c>
      <c r="AE20" s="4">
        <f>$K$20*$Y$20</f>
        <v>0</v>
      </c>
      <c r="AF20" s="4">
        <f ca="1">$M$20*$Z$20</f>
        <v>4945.9676218872582</v>
      </c>
      <c r="AG20" s="4">
        <f>$O$20*$AA$20</f>
        <v>0</v>
      </c>
    </row>
    <row r="21" spans="1:33" ht="11.25" customHeight="1" x14ac:dyDescent="0.25">
      <c r="A21" s="3" t="s">
        <v>21</v>
      </c>
      <c r="B21" s="3" t="s">
        <v>35</v>
      </c>
      <c r="C21" s="3" t="s">
        <v>54</v>
      </c>
      <c r="D21" s="3" t="s">
        <v>34</v>
      </c>
      <c r="E21" s="3" t="s">
        <v>25</v>
      </c>
      <c r="F21" s="3" t="s">
        <v>55</v>
      </c>
      <c r="G21" s="3" t="s">
        <v>25</v>
      </c>
      <c r="H21" s="3" t="s">
        <v>25</v>
      </c>
      <c r="I21" s="6">
        <v>44652</v>
      </c>
      <c r="J21" s="4">
        <v>0</v>
      </c>
      <c r="K21" s="4">
        <v>0</v>
      </c>
      <c r="L21" s="4">
        <v>47.712000000000003</v>
      </c>
      <c r="M21" s="4">
        <v>47.712000000000003</v>
      </c>
      <c r="N21" s="4">
        <v>0</v>
      </c>
      <c r="O21" s="4">
        <v>0</v>
      </c>
      <c r="P21" s="4">
        <v>1</v>
      </c>
      <c r="Q21" s="3" t="s">
        <v>56</v>
      </c>
      <c r="R21" s="3">
        <v>0</v>
      </c>
      <c r="S21" s="4">
        <v>0</v>
      </c>
      <c r="T21" s="4">
        <v>4</v>
      </c>
      <c r="U21" s="4">
        <v>0</v>
      </c>
      <c r="V21" s="4">
        <f>IF(ISERROR(VLOOKUP($S$21,'TAR FIN'!$A$1:$O$85,15,0)),0,VLOOKUP($S$21,'TAR FIN'!$A$1:$O$85,15,0))</f>
        <v>0</v>
      </c>
      <c r="W21" s="4">
        <f>IF(ISERROR(VLOOKUP($T$21,'TAR FIN'!$A$1:$O$85,15,0)),0,VLOOKUP($T$21,'TAR FIN'!$A$1:$O$85,15,0))</f>
        <v>56.92</v>
      </c>
      <c r="X21" s="4">
        <f>IF(ISERROR(VLOOKUP($U$21,'TAR FIN'!$A$1:$O$85,15,0)),0,VLOOKUP($U$21,'TAR FIN'!$A$1:$O$85,15,0))</f>
        <v>0</v>
      </c>
      <c r="Y21" s="4"/>
      <c r="Z21" s="4">
        <f ca="1">('TUSD BE'!$AM$7+'TUSD BF'!$AM$7+'TUSD CVA'!$AM$7)*1</f>
        <v>100.14715657738388</v>
      </c>
      <c r="AA21" s="4"/>
      <c r="AB21" s="4">
        <f>$K$21*$V$21</f>
        <v>0</v>
      </c>
      <c r="AC21" s="4">
        <f>$M$21*$W$21</f>
        <v>2715.7670400000002</v>
      </c>
      <c r="AD21" s="4">
        <f>$O$21*$X$21</f>
        <v>0</v>
      </c>
      <c r="AE21" s="4">
        <f>$K$21*$Y$21</f>
        <v>0</v>
      </c>
      <c r="AF21" s="4">
        <f ca="1">$M$21*$Z$21</f>
        <v>4778.2211346201402</v>
      </c>
      <c r="AG21" s="4">
        <f>$O$21*$AA$21</f>
        <v>0</v>
      </c>
    </row>
    <row r="22" spans="1:33" ht="11.25" customHeight="1" x14ac:dyDescent="0.25">
      <c r="A22" s="3" t="s">
        <v>21</v>
      </c>
      <c r="B22" s="3" t="s">
        <v>35</v>
      </c>
      <c r="C22" s="3" t="s">
        <v>54</v>
      </c>
      <c r="D22" s="3" t="s">
        <v>34</v>
      </c>
      <c r="E22" s="3" t="s">
        <v>25</v>
      </c>
      <c r="F22" s="3" t="s">
        <v>55</v>
      </c>
      <c r="G22" s="3" t="s">
        <v>25</v>
      </c>
      <c r="H22" s="3" t="s">
        <v>25</v>
      </c>
      <c r="I22" s="6">
        <v>44682</v>
      </c>
      <c r="J22" s="4">
        <v>0</v>
      </c>
      <c r="K22" s="4">
        <v>0</v>
      </c>
      <c r="L22" s="4">
        <v>47.343000000000004</v>
      </c>
      <c r="M22" s="4">
        <v>47.343000000000004</v>
      </c>
      <c r="N22" s="4">
        <v>0</v>
      </c>
      <c r="O22" s="4">
        <v>0</v>
      </c>
      <c r="P22" s="4">
        <v>1</v>
      </c>
      <c r="Q22" s="3" t="s">
        <v>56</v>
      </c>
      <c r="R22" s="3">
        <v>0</v>
      </c>
      <c r="S22" s="4">
        <v>0</v>
      </c>
      <c r="T22" s="4">
        <v>4</v>
      </c>
      <c r="U22" s="4">
        <v>0</v>
      </c>
      <c r="V22" s="4">
        <f>IF(ISERROR(VLOOKUP($S$22,'TAR FIN'!$A$1:$O$85,15,0)),0,VLOOKUP($S$22,'TAR FIN'!$A$1:$O$85,15,0))</f>
        <v>0</v>
      </c>
      <c r="W22" s="4">
        <f>IF(ISERROR(VLOOKUP($T$22,'TAR FIN'!$A$1:$O$85,15,0)),0,VLOOKUP($T$22,'TAR FIN'!$A$1:$O$85,15,0))</f>
        <v>56.92</v>
      </c>
      <c r="X22" s="4">
        <f>IF(ISERROR(VLOOKUP($U$22,'TAR FIN'!$A$1:$O$85,15,0)),0,VLOOKUP($U$22,'TAR FIN'!$A$1:$O$85,15,0))</f>
        <v>0</v>
      </c>
      <c r="Y22" s="4"/>
      <c r="Z22" s="4">
        <f ca="1">('TUSD BE'!$AM$7+'TUSD BF'!$AM$7+'TUSD CVA'!$AM$7)*1</f>
        <v>100.14715657738388</v>
      </c>
      <c r="AA22" s="4"/>
      <c r="AB22" s="4">
        <f>$K$22*$V$22</f>
        <v>0</v>
      </c>
      <c r="AC22" s="4">
        <f>$M$22*$W$22</f>
        <v>2694.7635600000003</v>
      </c>
      <c r="AD22" s="4">
        <f>$O$22*$X$22</f>
        <v>0</v>
      </c>
      <c r="AE22" s="4">
        <f>$K$22*$Y$22</f>
        <v>0</v>
      </c>
      <c r="AF22" s="4">
        <f ca="1">$M$22*$Z$22</f>
        <v>4741.2668338430858</v>
      </c>
      <c r="AG22" s="4">
        <f>$O$22*$AA$22</f>
        <v>0</v>
      </c>
    </row>
    <row r="23" spans="1:33" ht="11.25" customHeight="1" x14ac:dyDescent="0.25">
      <c r="A23" s="3" t="s">
        <v>21</v>
      </c>
      <c r="B23" s="3" t="s">
        <v>35</v>
      </c>
      <c r="C23" s="3" t="s">
        <v>54</v>
      </c>
      <c r="D23" s="3" t="s">
        <v>34</v>
      </c>
      <c r="E23" s="3" t="s">
        <v>25</v>
      </c>
      <c r="F23" s="3" t="s">
        <v>55</v>
      </c>
      <c r="G23" s="3" t="s">
        <v>25</v>
      </c>
      <c r="H23" s="3" t="s">
        <v>25</v>
      </c>
      <c r="I23" s="6">
        <v>44713</v>
      </c>
      <c r="J23" s="4">
        <v>0</v>
      </c>
      <c r="K23" s="4">
        <v>0</v>
      </c>
      <c r="L23" s="4">
        <v>45.942999999999998</v>
      </c>
      <c r="M23" s="4">
        <v>45.942999999999998</v>
      </c>
      <c r="N23" s="4">
        <v>0</v>
      </c>
      <c r="O23" s="4">
        <v>0</v>
      </c>
      <c r="P23" s="4">
        <v>1</v>
      </c>
      <c r="Q23" s="3" t="s">
        <v>56</v>
      </c>
      <c r="R23" s="3">
        <v>0</v>
      </c>
      <c r="S23" s="4">
        <v>0</v>
      </c>
      <c r="T23" s="4">
        <v>4</v>
      </c>
      <c r="U23" s="4">
        <v>0</v>
      </c>
      <c r="V23" s="4">
        <f>IF(ISERROR(VLOOKUP($S$23,'TAR FIN'!$A$1:$O$85,15,0)),0,VLOOKUP($S$23,'TAR FIN'!$A$1:$O$85,15,0))</f>
        <v>0</v>
      </c>
      <c r="W23" s="4">
        <f>IF(ISERROR(VLOOKUP($T$23,'TAR FIN'!$A$1:$O$85,15,0)),0,VLOOKUP($T$23,'TAR FIN'!$A$1:$O$85,15,0))</f>
        <v>56.92</v>
      </c>
      <c r="X23" s="4">
        <f>IF(ISERROR(VLOOKUP($U$23,'TAR FIN'!$A$1:$O$85,15,0)),0,VLOOKUP($U$23,'TAR FIN'!$A$1:$O$85,15,0))</f>
        <v>0</v>
      </c>
      <c r="Y23" s="4"/>
      <c r="Z23" s="4">
        <f ca="1">('TUSD BE'!$AM$7+'TUSD BF'!$AM$7+'TUSD CVA'!$AM$7)*1</f>
        <v>100.14715657738388</v>
      </c>
      <c r="AA23" s="4"/>
      <c r="AB23" s="4">
        <f>$K$23*$V$23</f>
        <v>0</v>
      </c>
      <c r="AC23" s="4">
        <f>$M$23*$W$23</f>
        <v>2615.0755599999998</v>
      </c>
      <c r="AD23" s="4">
        <f>$O$23*$X$23</f>
        <v>0</v>
      </c>
      <c r="AE23" s="4">
        <f>$K$23*$Y$23</f>
        <v>0</v>
      </c>
      <c r="AF23" s="4">
        <f ca="1">$M$23*$Z$23</f>
        <v>4601.0608146347477</v>
      </c>
      <c r="AG23" s="4">
        <f>$O$23*$AA$23</f>
        <v>0</v>
      </c>
    </row>
    <row r="24" spans="1:33" ht="11.25" customHeight="1" x14ac:dyDescent="0.25">
      <c r="A24" s="3" t="s">
        <v>21</v>
      </c>
      <c r="B24" s="3" t="s">
        <v>35</v>
      </c>
      <c r="C24" s="3" t="s">
        <v>54</v>
      </c>
      <c r="D24" s="3" t="s">
        <v>34</v>
      </c>
      <c r="E24" s="3" t="s">
        <v>25</v>
      </c>
      <c r="F24" s="3" t="s">
        <v>55</v>
      </c>
      <c r="G24" s="3" t="s">
        <v>25</v>
      </c>
      <c r="H24" s="3" t="s">
        <v>25</v>
      </c>
      <c r="I24" s="6">
        <v>44743</v>
      </c>
      <c r="J24" s="4">
        <v>0</v>
      </c>
      <c r="K24" s="4">
        <v>0</v>
      </c>
      <c r="L24" s="4">
        <v>47.923999999999999</v>
      </c>
      <c r="M24" s="4">
        <v>47.923999999999999</v>
      </c>
      <c r="N24" s="4">
        <v>0</v>
      </c>
      <c r="O24" s="4">
        <v>0</v>
      </c>
      <c r="P24" s="4">
        <v>1</v>
      </c>
      <c r="Q24" s="3" t="s">
        <v>56</v>
      </c>
      <c r="R24" s="3">
        <v>0</v>
      </c>
      <c r="S24" s="4">
        <v>0</v>
      </c>
      <c r="T24" s="4">
        <v>4</v>
      </c>
      <c r="U24" s="4">
        <v>0</v>
      </c>
      <c r="V24" s="4">
        <f>IF(ISERROR(VLOOKUP($S$24,'TAR FIN'!$A$1:$O$85,15,0)),0,VLOOKUP($S$24,'TAR FIN'!$A$1:$O$85,15,0))</f>
        <v>0</v>
      </c>
      <c r="W24" s="4">
        <f>IF(ISERROR(VLOOKUP($T$24,'TAR FIN'!$A$1:$O$85,15,0)),0,VLOOKUP($T$24,'TAR FIN'!$A$1:$O$85,15,0))</f>
        <v>56.92</v>
      </c>
      <c r="X24" s="4">
        <f>IF(ISERROR(VLOOKUP($U$24,'TAR FIN'!$A$1:$O$85,15,0)),0,VLOOKUP($U$24,'TAR FIN'!$A$1:$O$85,15,0))</f>
        <v>0</v>
      </c>
      <c r="Y24" s="4"/>
      <c r="Z24" s="4">
        <f ca="1">('TUSD BE'!$AM$7+'TUSD BF'!$AM$7+'TUSD CVA'!$AM$7)*1</f>
        <v>100.14715657738388</v>
      </c>
      <c r="AA24" s="4"/>
      <c r="AB24" s="4">
        <f>$K$24*$V$24</f>
        <v>0</v>
      </c>
      <c r="AC24" s="4">
        <f>$M$24*$W$24</f>
        <v>2727.8340800000001</v>
      </c>
      <c r="AD24" s="4">
        <f>$O$24*$X$24</f>
        <v>0</v>
      </c>
      <c r="AE24" s="4">
        <f>$K$24*$Y$24</f>
        <v>0</v>
      </c>
      <c r="AF24" s="4">
        <f ca="1">$M$24*$Z$24</f>
        <v>4799.4523318145448</v>
      </c>
      <c r="AG24" s="4">
        <f>$O$24*$AA$24</f>
        <v>0</v>
      </c>
    </row>
    <row r="25" spans="1:33" ht="11.25" customHeight="1" x14ac:dyDescent="0.25">
      <c r="A25" s="3" t="s">
        <v>21</v>
      </c>
      <c r="B25" s="3" t="s">
        <v>35</v>
      </c>
      <c r="C25" s="3" t="s">
        <v>54</v>
      </c>
      <c r="D25" s="3" t="s">
        <v>34</v>
      </c>
      <c r="E25" s="3" t="s">
        <v>25</v>
      </c>
      <c r="F25" s="3" t="s">
        <v>55</v>
      </c>
      <c r="G25" s="3" t="s">
        <v>25</v>
      </c>
      <c r="H25" s="3" t="s">
        <v>25</v>
      </c>
      <c r="I25" s="6">
        <v>44774</v>
      </c>
      <c r="J25" s="4">
        <v>0</v>
      </c>
      <c r="K25" s="4">
        <v>0</v>
      </c>
      <c r="L25" s="4">
        <v>47.061</v>
      </c>
      <c r="M25" s="4">
        <v>47.061</v>
      </c>
      <c r="N25" s="4">
        <v>0</v>
      </c>
      <c r="O25" s="4">
        <v>0</v>
      </c>
      <c r="P25" s="4">
        <v>1</v>
      </c>
      <c r="Q25" s="3" t="s">
        <v>56</v>
      </c>
      <c r="R25" s="3">
        <v>0</v>
      </c>
      <c r="S25" s="4">
        <v>0</v>
      </c>
      <c r="T25" s="4">
        <v>4</v>
      </c>
      <c r="U25" s="4">
        <v>0</v>
      </c>
      <c r="V25" s="4">
        <f>IF(ISERROR(VLOOKUP($S$25,'TAR FIN'!$A$1:$O$85,15,0)),0,VLOOKUP($S$25,'TAR FIN'!$A$1:$O$85,15,0))</f>
        <v>0</v>
      </c>
      <c r="W25" s="4">
        <f>IF(ISERROR(VLOOKUP($T$25,'TAR FIN'!$A$1:$O$85,15,0)),0,VLOOKUP($T$25,'TAR FIN'!$A$1:$O$85,15,0))</f>
        <v>56.92</v>
      </c>
      <c r="X25" s="4">
        <f>IF(ISERROR(VLOOKUP($U$25,'TAR FIN'!$A$1:$O$85,15,0)),0,VLOOKUP($U$25,'TAR FIN'!$A$1:$O$85,15,0))</f>
        <v>0</v>
      </c>
      <c r="Y25" s="4"/>
      <c r="Z25" s="4">
        <f ca="1">('TUSD BE'!$AM$7+'TUSD BF'!$AM$7+'TUSD CVA'!$AM$7)*1</f>
        <v>100.14715657738388</v>
      </c>
      <c r="AA25" s="4"/>
      <c r="AB25" s="4">
        <f>$K$25*$V$25</f>
        <v>0</v>
      </c>
      <c r="AC25" s="4">
        <f>$M$25*$W$25</f>
        <v>2678.7121200000001</v>
      </c>
      <c r="AD25" s="4">
        <f>$O$25*$X$25</f>
        <v>0</v>
      </c>
      <c r="AE25" s="4">
        <f>$K$25*$Y$25</f>
        <v>0</v>
      </c>
      <c r="AF25" s="4">
        <f ca="1">$M$25*$Z$25</f>
        <v>4713.0253356882631</v>
      </c>
      <c r="AG25" s="4">
        <f>$O$25*$AA$25</f>
        <v>0</v>
      </c>
    </row>
    <row r="26" spans="1:33" ht="11.25" customHeight="1" x14ac:dyDescent="0.25">
      <c r="A26" s="3" t="s">
        <v>21</v>
      </c>
      <c r="B26" s="3" t="s">
        <v>35</v>
      </c>
      <c r="C26" s="3" t="s">
        <v>54</v>
      </c>
      <c r="D26" s="3" t="s">
        <v>34</v>
      </c>
      <c r="E26" s="3" t="s">
        <v>25</v>
      </c>
      <c r="F26" s="3" t="s">
        <v>55</v>
      </c>
      <c r="G26" s="3" t="s">
        <v>25</v>
      </c>
      <c r="H26" s="3" t="s">
        <v>37</v>
      </c>
      <c r="I26" s="6">
        <v>44440</v>
      </c>
      <c r="J26" s="4">
        <v>87</v>
      </c>
      <c r="K26" s="4">
        <v>43.5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56</v>
      </c>
      <c r="R26" s="3">
        <v>0</v>
      </c>
      <c r="S26" s="4">
        <v>3</v>
      </c>
      <c r="T26" s="4">
        <v>0</v>
      </c>
      <c r="U26" s="4">
        <v>0</v>
      </c>
      <c r="V26" s="4">
        <f>IF(ISERROR(VLOOKUP($S$26,'TAR FIN'!$A$1:$O$85,15,0)),0,VLOOKUP($S$26,'TAR FIN'!$A$1:$O$85,15,0))</f>
        <v>78.180000000000007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BE'!$AM$5+'TUSD BF'!$AM$5+'TUSD CVA'!$AM$5)*1</f>
        <v>87.613035401223812</v>
      </c>
      <c r="Z26" s="4">
        <f ca="1">('TUSD BE'!$AM$7+'TUSD BF'!$AM$7+'TUSD CVA'!$AM$7)*1</f>
        <v>100.14715657738388</v>
      </c>
      <c r="AA26" s="4"/>
      <c r="AB26" s="4">
        <f>$K$26*$V$26</f>
        <v>3400.8300000000004</v>
      </c>
      <c r="AC26" s="4">
        <f>$M$26*$W$26</f>
        <v>0</v>
      </c>
      <c r="AD26" s="4">
        <f>$O$26*$X$26</f>
        <v>0</v>
      </c>
      <c r="AE26" s="4">
        <f ca="1">$K$26*$Y$26</f>
        <v>3811.1670399532359</v>
      </c>
      <c r="AF26" s="4">
        <f ca="1">$M$26*$Z$26</f>
        <v>0</v>
      </c>
      <c r="AG26" s="4">
        <f>$O$26*$AA$26</f>
        <v>0</v>
      </c>
    </row>
    <row r="27" spans="1:33" ht="11.25" customHeight="1" x14ac:dyDescent="0.25">
      <c r="A27" s="3" t="s">
        <v>21</v>
      </c>
      <c r="B27" s="3" t="s">
        <v>35</v>
      </c>
      <c r="C27" s="3" t="s">
        <v>54</v>
      </c>
      <c r="D27" s="3" t="s">
        <v>34</v>
      </c>
      <c r="E27" s="3" t="s">
        <v>25</v>
      </c>
      <c r="F27" s="3" t="s">
        <v>55</v>
      </c>
      <c r="G27" s="3" t="s">
        <v>25</v>
      </c>
      <c r="H27" s="3" t="s">
        <v>37</v>
      </c>
      <c r="I27" s="6">
        <v>44470</v>
      </c>
      <c r="J27" s="4">
        <v>87</v>
      </c>
      <c r="K27" s="4">
        <v>43.5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56</v>
      </c>
      <c r="R27" s="3">
        <v>0</v>
      </c>
      <c r="S27" s="4">
        <v>3</v>
      </c>
      <c r="T27" s="4">
        <v>0</v>
      </c>
      <c r="U27" s="4">
        <v>0</v>
      </c>
      <c r="V27" s="4">
        <f>IF(ISERROR(VLOOKUP($S$27,'TAR FIN'!$A$1:$O$85,15,0)),0,VLOOKUP($S$27,'TAR FIN'!$A$1:$O$85,15,0))</f>
        <v>78.180000000000007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BE'!$AM$5+'TUSD BF'!$AM$5+'TUSD CVA'!$AM$5)*1</f>
        <v>87.613035401223812</v>
      </c>
      <c r="Z27" s="4">
        <f ca="1">('TUSD BE'!$AM$7+'TUSD BF'!$AM$7+'TUSD CVA'!$AM$7)*1</f>
        <v>100.14715657738388</v>
      </c>
      <c r="AA27" s="4"/>
      <c r="AB27" s="4">
        <f>$K$27*$V$27</f>
        <v>3400.8300000000004</v>
      </c>
      <c r="AC27" s="4">
        <f>$M$27*$W$27</f>
        <v>0</v>
      </c>
      <c r="AD27" s="4">
        <f>$O$27*$X$27</f>
        <v>0</v>
      </c>
      <c r="AE27" s="4">
        <f ca="1">$K$27*$Y$27</f>
        <v>3811.1670399532359</v>
      </c>
      <c r="AF27" s="4">
        <f ca="1">$M$27*$Z$27</f>
        <v>0</v>
      </c>
      <c r="AG27" s="4">
        <f>$O$27*$AA$27</f>
        <v>0</v>
      </c>
    </row>
    <row r="28" spans="1:33" ht="11.25" customHeight="1" x14ac:dyDescent="0.25">
      <c r="A28" s="3" t="s">
        <v>21</v>
      </c>
      <c r="B28" s="3" t="s">
        <v>35</v>
      </c>
      <c r="C28" s="3" t="s">
        <v>54</v>
      </c>
      <c r="D28" s="3" t="s">
        <v>34</v>
      </c>
      <c r="E28" s="3" t="s">
        <v>25</v>
      </c>
      <c r="F28" s="3" t="s">
        <v>55</v>
      </c>
      <c r="G28" s="3" t="s">
        <v>25</v>
      </c>
      <c r="H28" s="3" t="s">
        <v>37</v>
      </c>
      <c r="I28" s="6">
        <v>44501</v>
      </c>
      <c r="J28" s="4">
        <v>87</v>
      </c>
      <c r="K28" s="4">
        <v>43.5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56</v>
      </c>
      <c r="R28" s="3">
        <v>0</v>
      </c>
      <c r="S28" s="4">
        <v>3</v>
      </c>
      <c r="T28" s="4">
        <v>0</v>
      </c>
      <c r="U28" s="4">
        <v>0</v>
      </c>
      <c r="V28" s="4">
        <f>IF(ISERROR(VLOOKUP($S$28,'TAR FIN'!$A$1:$O$85,15,0)),0,VLOOKUP($S$28,'TAR FIN'!$A$1:$O$85,15,0))</f>
        <v>78.180000000000007</v>
      </c>
      <c r="W28" s="4">
        <f>IF(ISERROR(VLOOKUP($T$28,'TAR FIN'!$A$1:$O$85,15,0)),0,VLOOKUP($T$28,'TAR FIN'!$A$1:$O$85,15,0))</f>
        <v>0</v>
      </c>
      <c r="X28" s="4">
        <f>IF(ISERROR(VLOOKUP($U$28,'TAR FIN'!$A$1:$O$85,15,0)),0,VLOOKUP($U$28,'TAR FIN'!$A$1:$O$85,15,0))</f>
        <v>0</v>
      </c>
      <c r="Y28" s="4">
        <f ca="1">('TUSD BE'!$AM$5+'TUSD BF'!$AM$5+'TUSD CVA'!$AM$5)*1</f>
        <v>87.613035401223812</v>
      </c>
      <c r="Z28" s="4">
        <f ca="1">('TUSD BE'!$AM$7+'TUSD BF'!$AM$7+'TUSD CVA'!$AM$7)*1</f>
        <v>100.14715657738388</v>
      </c>
      <c r="AA28" s="4"/>
      <c r="AB28" s="4">
        <f>$K$28*$V$28</f>
        <v>3400.8300000000004</v>
      </c>
      <c r="AC28" s="4">
        <f>$M$28*$W$28</f>
        <v>0</v>
      </c>
      <c r="AD28" s="4">
        <f>$O$28*$X$28</f>
        <v>0</v>
      </c>
      <c r="AE28" s="4">
        <f ca="1">$K$28*$Y$28</f>
        <v>3811.1670399532359</v>
      </c>
      <c r="AF28" s="4">
        <f ca="1">$M$28*$Z$28</f>
        <v>0</v>
      </c>
      <c r="AG28" s="4">
        <f>$O$28*$AA$28</f>
        <v>0</v>
      </c>
    </row>
    <row r="29" spans="1:33" ht="11.25" customHeight="1" x14ac:dyDescent="0.25">
      <c r="A29" s="3" t="s">
        <v>21</v>
      </c>
      <c r="B29" s="3" t="s">
        <v>35</v>
      </c>
      <c r="C29" s="3" t="s">
        <v>54</v>
      </c>
      <c r="D29" s="3" t="s">
        <v>34</v>
      </c>
      <c r="E29" s="3" t="s">
        <v>25</v>
      </c>
      <c r="F29" s="3" t="s">
        <v>55</v>
      </c>
      <c r="G29" s="3" t="s">
        <v>25</v>
      </c>
      <c r="H29" s="3" t="s">
        <v>37</v>
      </c>
      <c r="I29" s="6">
        <v>44531</v>
      </c>
      <c r="J29" s="4">
        <v>87</v>
      </c>
      <c r="K29" s="4">
        <v>43.5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56</v>
      </c>
      <c r="R29" s="3">
        <v>0</v>
      </c>
      <c r="S29" s="4">
        <v>3</v>
      </c>
      <c r="T29" s="4">
        <v>0</v>
      </c>
      <c r="U29" s="4">
        <v>0</v>
      </c>
      <c r="V29" s="4">
        <f>IF(ISERROR(VLOOKUP($S$29,'TAR FIN'!$A$1:$O$85,15,0)),0,VLOOKUP($S$29,'TAR FIN'!$A$1:$O$85,15,0))</f>
        <v>78.180000000000007</v>
      </c>
      <c r="W29" s="4">
        <f>IF(ISERROR(VLOOKUP($T$29,'TAR FIN'!$A$1:$O$85,15,0)),0,VLOOKUP($T$29,'TAR FIN'!$A$1:$O$85,15,0))</f>
        <v>0</v>
      </c>
      <c r="X29" s="4">
        <f>IF(ISERROR(VLOOKUP($U$29,'TAR FIN'!$A$1:$O$85,15,0)),0,VLOOKUP($U$29,'TAR FIN'!$A$1:$O$85,15,0))</f>
        <v>0</v>
      </c>
      <c r="Y29" s="4">
        <f ca="1">('TUSD BE'!$AM$5+'TUSD BF'!$AM$5+'TUSD CVA'!$AM$5)*1</f>
        <v>87.613035401223812</v>
      </c>
      <c r="Z29" s="4">
        <f ca="1">('TUSD BE'!$AM$7+'TUSD BF'!$AM$7+'TUSD CVA'!$AM$7)*1</f>
        <v>100.14715657738388</v>
      </c>
      <c r="AA29" s="4"/>
      <c r="AB29" s="4">
        <f>$K$29*$V$29</f>
        <v>3400.8300000000004</v>
      </c>
      <c r="AC29" s="4">
        <f>$M$29*$W$29</f>
        <v>0</v>
      </c>
      <c r="AD29" s="4">
        <f>$O$29*$X$29</f>
        <v>0</v>
      </c>
      <c r="AE29" s="4">
        <f ca="1">$K$29*$Y$29</f>
        <v>3811.1670399532359</v>
      </c>
      <c r="AF29" s="4">
        <f ca="1">$M$29*$Z$29</f>
        <v>0</v>
      </c>
      <c r="AG29" s="4">
        <f>$O$29*$AA$29</f>
        <v>0</v>
      </c>
    </row>
    <row r="30" spans="1:33" ht="11.25" customHeight="1" x14ac:dyDescent="0.25">
      <c r="A30" s="3" t="s">
        <v>21</v>
      </c>
      <c r="B30" s="3" t="s">
        <v>35</v>
      </c>
      <c r="C30" s="3" t="s">
        <v>54</v>
      </c>
      <c r="D30" s="3" t="s">
        <v>34</v>
      </c>
      <c r="E30" s="3" t="s">
        <v>25</v>
      </c>
      <c r="F30" s="3" t="s">
        <v>55</v>
      </c>
      <c r="G30" s="3" t="s">
        <v>25</v>
      </c>
      <c r="H30" s="3" t="s">
        <v>37</v>
      </c>
      <c r="I30" s="6">
        <v>44562</v>
      </c>
      <c r="J30" s="4">
        <v>87</v>
      </c>
      <c r="K30" s="4">
        <v>43.5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56</v>
      </c>
      <c r="R30" s="3">
        <v>0</v>
      </c>
      <c r="S30" s="4">
        <v>3</v>
      </c>
      <c r="T30" s="4">
        <v>0</v>
      </c>
      <c r="U30" s="4">
        <v>0</v>
      </c>
      <c r="V30" s="4">
        <f>IF(ISERROR(VLOOKUP($S$30,'TAR FIN'!$A$1:$O$85,15,0)),0,VLOOKUP($S$30,'TAR FIN'!$A$1:$O$85,15,0))</f>
        <v>78.180000000000007</v>
      </c>
      <c r="W30" s="4">
        <f>IF(ISERROR(VLOOKUP($T$30,'TAR FIN'!$A$1:$O$85,15,0)),0,VLOOKUP($T$30,'TAR FIN'!$A$1:$O$85,15,0))</f>
        <v>0</v>
      </c>
      <c r="X30" s="4">
        <f>IF(ISERROR(VLOOKUP($U$30,'TAR FIN'!$A$1:$O$85,15,0)),0,VLOOKUP($U$30,'TAR FIN'!$A$1:$O$85,15,0))</f>
        <v>0</v>
      </c>
      <c r="Y30" s="4">
        <f ca="1">('TUSD BE'!$AM$5+'TUSD BF'!$AM$5+'TUSD CVA'!$AM$5)*1</f>
        <v>87.613035401223812</v>
      </c>
      <c r="Z30" s="4">
        <f ca="1">('TUSD BE'!$AM$7+'TUSD BF'!$AM$7+'TUSD CVA'!$AM$7)*1</f>
        <v>100.14715657738388</v>
      </c>
      <c r="AA30" s="4"/>
      <c r="AB30" s="4">
        <f>$K$30*$V$30</f>
        <v>3400.8300000000004</v>
      </c>
      <c r="AC30" s="4">
        <f>$M$30*$W$30</f>
        <v>0</v>
      </c>
      <c r="AD30" s="4">
        <f>$O$30*$X$30</f>
        <v>0</v>
      </c>
      <c r="AE30" s="4">
        <f ca="1">$K$30*$Y$30</f>
        <v>3811.1670399532359</v>
      </c>
      <c r="AF30" s="4">
        <f ca="1">$M$30*$Z$30</f>
        <v>0</v>
      </c>
      <c r="AG30" s="4">
        <f>$O$30*$AA$30</f>
        <v>0</v>
      </c>
    </row>
    <row r="31" spans="1:33" ht="11.25" customHeight="1" x14ac:dyDescent="0.25">
      <c r="A31" s="3" t="s">
        <v>21</v>
      </c>
      <c r="B31" s="3" t="s">
        <v>35</v>
      </c>
      <c r="C31" s="3" t="s">
        <v>54</v>
      </c>
      <c r="D31" s="3" t="s">
        <v>34</v>
      </c>
      <c r="E31" s="3" t="s">
        <v>25</v>
      </c>
      <c r="F31" s="3" t="s">
        <v>55</v>
      </c>
      <c r="G31" s="3" t="s">
        <v>25</v>
      </c>
      <c r="H31" s="3" t="s">
        <v>37</v>
      </c>
      <c r="I31" s="6">
        <v>44593</v>
      </c>
      <c r="J31" s="4">
        <v>87</v>
      </c>
      <c r="K31" s="4">
        <v>43.5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56</v>
      </c>
      <c r="R31" s="3">
        <v>0</v>
      </c>
      <c r="S31" s="4">
        <v>3</v>
      </c>
      <c r="T31" s="4">
        <v>0</v>
      </c>
      <c r="U31" s="4">
        <v>0</v>
      </c>
      <c r="V31" s="4">
        <f>IF(ISERROR(VLOOKUP($S$31,'TAR FIN'!$A$1:$O$85,15,0)),0,VLOOKUP($S$31,'TAR FIN'!$A$1:$O$85,15,0))</f>
        <v>78.180000000000007</v>
      </c>
      <c r="W31" s="4">
        <f>IF(ISERROR(VLOOKUP($T$31,'TAR FIN'!$A$1:$O$85,15,0)),0,VLOOKUP($T$31,'TAR FIN'!$A$1:$O$85,15,0))</f>
        <v>0</v>
      </c>
      <c r="X31" s="4">
        <f>IF(ISERROR(VLOOKUP($U$31,'TAR FIN'!$A$1:$O$85,15,0)),0,VLOOKUP($U$31,'TAR FIN'!$A$1:$O$85,15,0))</f>
        <v>0</v>
      </c>
      <c r="Y31" s="4">
        <f ca="1">('TUSD BE'!$AM$5+'TUSD BF'!$AM$5+'TUSD CVA'!$AM$5)*1</f>
        <v>87.613035401223812</v>
      </c>
      <c r="Z31" s="4">
        <f ca="1">('TUSD BE'!$AM$7+'TUSD BF'!$AM$7+'TUSD CVA'!$AM$7)*1</f>
        <v>100.14715657738388</v>
      </c>
      <c r="AA31" s="4"/>
      <c r="AB31" s="4">
        <f>$K$31*$V$31</f>
        <v>3400.8300000000004</v>
      </c>
      <c r="AC31" s="4">
        <f>$M$31*$W$31</f>
        <v>0</v>
      </c>
      <c r="AD31" s="4">
        <f>$O$31*$X$31</f>
        <v>0</v>
      </c>
      <c r="AE31" s="4">
        <f ca="1">$K$31*$Y$31</f>
        <v>3811.1670399532359</v>
      </c>
      <c r="AF31" s="4">
        <f ca="1">$M$31*$Z$31</f>
        <v>0</v>
      </c>
      <c r="AG31" s="4">
        <f>$O$31*$AA$31</f>
        <v>0</v>
      </c>
    </row>
    <row r="32" spans="1:33" ht="11.25" customHeight="1" x14ac:dyDescent="0.25">
      <c r="A32" s="3" t="s">
        <v>21</v>
      </c>
      <c r="B32" s="3" t="s">
        <v>35</v>
      </c>
      <c r="C32" s="3" t="s">
        <v>54</v>
      </c>
      <c r="D32" s="3" t="s">
        <v>34</v>
      </c>
      <c r="E32" s="3" t="s">
        <v>25</v>
      </c>
      <c r="F32" s="3" t="s">
        <v>55</v>
      </c>
      <c r="G32" s="3" t="s">
        <v>25</v>
      </c>
      <c r="H32" s="3" t="s">
        <v>37</v>
      </c>
      <c r="I32" s="6">
        <v>44621</v>
      </c>
      <c r="J32" s="4">
        <v>87</v>
      </c>
      <c r="K32" s="4">
        <v>43.5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56</v>
      </c>
      <c r="R32" s="3">
        <v>0</v>
      </c>
      <c r="S32" s="4">
        <v>3</v>
      </c>
      <c r="T32" s="4">
        <v>0</v>
      </c>
      <c r="U32" s="4">
        <v>0</v>
      </c>
      <c r="V32" s="4">
        <f>IF(ISERROR(VLOOKUP($S$32,'TAR FIN'!$A$1:$O$85,15,0)),0,VLOOKUP($S$32,'TAR FIN'!$A$1:$O$85,15,0))</f>
        <v>78.180000000000007</v>
      </c>
      <c r="W32" s="4">
        <f>IF(ISERROR(VLOOKUP($T$32,'TAR FIN'!$A$1:$O$85,15,0)),0,VLOOKUP($T$32,'TAR FIN'!$A$1:$O$85,15,0))</f>
        <v>0</v>
      </c>
      <c r="X32" s="4">
        <f>IF(ISERROR(VLOOKUP($U$32,'TAR FIN'!$A$1:$O$85,15,0)),0,VLOOKUP($U$32,'TAR FIN'!$A$1:$O$85,15,0))</f>
        <v>0</v>
      </c>
      <c r="Y32" s="4">
        <f ca="1">('TUSD BE'!$AM$5+'TUSD BF'!$AM$5+'TUSD CVA'!$AM$5)*1</f>
        <v>87.613035401223812</v>
      </c>
      <c r="Z32" s="4">
        <f ca="1">('TUSD BE'!$AM$7+'TUSD BF'!$AM$7+'TUSD CVA'!$AM$7)*1</f>
        <v>100.14715657738388</v>
      </c>
      <c r="AA32" s="4"/>
      <c r="AB32" s="4">
        <f>$K$32*$V$32</f>
        <v>3400.8300000000004</v>
      </c>
      <c r="AC32" s="4">
        <f>$M$32*$W$32</f>
        <v>0</v>
      </c>
      <c r="AD32" s="4">
        <f>$O$32*$X$32</f>
        <v>0</v>
      </c>
      <c r="AE32" s="4">
        <f ca="1">$K$32*$Y$32</f>
        <v>3811.1670399532359</v>
      </c>
      <c r="AF32" s="4">
        <f ca="1">$M$32*$Z$32</f>
        <v>0</v>
      </c>
      <c r="AG32" s="4">
        <f>$O$32*$AA$32</f>
        <v>0</v>
      </c>
    </row>
    <row r="33" spans="1:33" ht="11.25" customHeight="1" x14ac:dyDescent="0.25">
      <c r="A33" s="3" t="s">
        <v>21</v>
      </c>
      <c r="B33" s="3" t="s">
        <v>35</v>
      </c>
      <c r="C33" s="3" t="s">
        <v>54</v>
      </c>
      <c r="D33" s="3" t="s">
        <v>34</v>
      </c>
      <c r="E33" s="3" t="s">
        <v>25</v>
      </c>
      <c r="F33" s="3" t="s">
        <v>55</v>
      </c>
      <c r="G33" s="3" t="s">
        <v>25</v>
      </c>
      <c r="H33" s="3" t="s">
        <v>37</v>
      </c>
      <c r="I33" s="6">
        <v>44652</v>
      </c>
      <c r="J33" s="4">
        <v>87</v>
      </c>
      <c r="K33" s="4">
        <v>43.5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56</v>
      </c>
      <c r="R33" s="3">
        <v>0</v>
      </c>
      <c r="S33" s="4">
        <v>3</v>
      </c>
      <c r="T33" s="4">
        <v>0</v>
      </c>
      <c r="U33" s="4">
        <v>0</v>
      </c>
      <c r="V33" s="4">
        <f>IF(ISERROR(VLOOKUP($S$33,'TAR FIN'!$A$1:$O$85,15,0)),0,VLOOKUP($S$33,'TAR FIN'!$A$1:$O$85,15,0))</f>
        <v>78.180000000000007</v>
      </c>
      <c r="W33" s="4">
        <f>IF(ISERROR(VLOOKUP($T$33,'TAR FIN'!$A$1:$O$85,15,0)),0,VLOOKUP($T$33,'TAR FIN'!$A$1:$O$85,15,0))</f>
        <v>0</v>
      </c>
      <c r="X33" s="4">
        <f>IF(ISERROR(VLOOKUP($U$33,'TAR FIN'!$A$1:$O$85,15,0)),0,VLOOKUP($U$33,'TAR FIN'!$A$1:$O$85,15,0))</f>
        <v>0</v>
      </c>
      <c r="Y33" s="4">
        <f ca="1">('TUSD BE'!$AM$5+'TUSD BF'!$AM$5+'TUSD CVA'!$AM$5)*1</f>
        <v>87.613035401223812</v>
      </c>
      <c r="Z33" s="4">
        <f ca="1">('TUSD BE'!$AM$7+'TUSD BF'!$AM$7+'TUSD CVA'!$AM$7)*1</f>
        <v>100.14715657738388</v>
      </c>
      <c r="AA33" s="4"/>
      <c r="AB33" s="4">
        <f>$K$33*$V$33</f>
        <v>3400.8300000000004</v>
      </c>
      <c r="AC33" s="4">
        <f>$M$33*$W$33</f>
        <v>0</v>
      </c>
      <c r="AD33" s="4">
        <f>$O$33*$X$33</f>
        <v>0</v>
      </c>
      <c r="AE33" s="4">
        <f ca="1">$K$33*$Y$33</f>
        <v>3811.1670399532359</v>
      </c>
      <c r="AF33" s="4">
        <f ca="1">$M$33*$Z$33</f>
        <v>0</v>
      </c>
      <c r="AG33" s="4">
        <f>$O$33*$AA$33</f>
        <v>0</v>
      </c>
    </row>
    <row r="34" spans="1:33" ht="11.25" customHeight="1" x14ac:dyDescent="0.25">
      <c r="A34" s="3" t="s">
        <v>21</v>
      </c>
      <c r="B34" s="3" t="s">
        <v>35</v>
      </c>
      <c r="C34" s="3" t="s">
        <v>54</v>
      </c>
      <c r="D34" s="3" t="s">
        <v>34</v>
      </c>
      <c r="E34" s="3" t="s">
        <v>25</v>
      </c>
      <c r="F34" s="3" t="s">
        <v>55</v>
      </c>
      <c r="G34" s="3" t="s">
        <v>25</v>
      </c>
      <c r="H34" s="3" t="s">
        <v>37</v>
      </c>
      <c r="I34" s="6">
        <v>44682</v>
      </c>
      <c r="J34" s="4">
        <v>87</v>
      </c>
      <c r="K34" s="4">
        <v>43.5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56</v>
      </c>
      <c r="R34" s="3">
        <v>0</v>
      </c>
      <c r="S34" s="4">
        <v>3</v>
      </c>
      <c r="T34" s="4">
        <v>0</v>
      </c>
      <c r="U34" s="4">
        <v>0</v>
      </c>
      <c r="V34" s="4">
        <f>IF(ISERROR(VLOOKUP($S$34,'TAR FIN'!$A$1:$O$85,15,0)),0,VLOOKUP($S$34,'TAR FIN'!$A$1:$O$85,15,0))</f>
        <v>78.180000000000007</v>
      </c>
      <c r="W34" s="4">
        <f>IF(ISERROR(VLOOKUP($T$34,'TAR FIN'!$A$1:$O$85,15,0)),0,VLOOKUP($T$34,'TAR FIN'!$A$1:$O$85,15,0))</f>
        <v>0</v>
      </c>
      <c r="X34" s="4">
        <f>IF(ISERROR(VLOOKUP($U$34,'TAR FIN'!$A$1:$O$85,15,0)),0,VLOOKUP($U$34,'TAR FIN'!$A$1:$O$85,15,0))</f>
        <v>0</v>
      </c>
      <c r="Y34" s="4">
        <f ca="1">('TUSD BE'!$AM$5+'TUSD BF'!$AM$5+'TUSD CVA'!$AM$5)*1</f>
        <v>87.613035401223812</v>
      </c>
      <c r="Z34" s="4">
        <f ca="1">('TUSD BE'!$AM$7+'TUSD BF'!$AM$7+'TUSD CVA'!$AM$7)*1</f>
        <v>100.14715657738388</v>
      </c>
      <c r="AA34" s="4"/>
      <c r="AB34" s="4">
        <f>$K$34*$V$34</f>
        <v>3400.8300000000004</v>
      </c>
      <c r="AC34" s="4">
        <f>$M$34*$W$34</f>
        <v>0</v>
      </c>
      <c r="AD34" s="4">
        <f>$O$34*$X$34</f>
        <v>0</v>
      </c>
      <c r="AE34" s="4">
        <f ca="1">$K$34*$Y$34</f>
        <v>3811.1670399532359</v>
      </c>
      <c r="AF34" s="4">
        <f ca="1">$M$34*$Z$34</f>
        <v>0</v>
      </c>
      <c r="AG34" s="4">
        <f>$O$34*$AA$34</f>
        <v>0</v>
      </c>
    </row>
    <row r="35" spans="1:33" ht="11.25" customHeight="1" x14ac:dyDescent="0.25">
      <c r="A35" s="3" t="s">
        <v>21</v>
      </c>
      <c r="B35" s="3" t="s">
        <v>35</v>
      </c>
      <c r="C35" s="3" t="s">
        <v>54</v>
      </c>
      <c r="D35" s="3" t="s">
        <v>34</v>
      </c>
      <c r="E35" s="3" t="s">
        <v>25</v>
      </c>
      <c r="F35" s="3" t="s">
        <v>55</v>
      </c>
      <c r="G35" s="3" t="s">
        <v>25</v>
      </c>
      <c r="H35" s="3" t="s">
        <v>37</v>
      </c>
      <c r="I35" s="6">
        <v>44713</v>
      </c>
      <c r="J35" s="4">
        <v>87</v>
      </c>
      <c r="K35" s="4">
        <v>43.5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56</v>
      </c>
      <c r="R35" s="3">
        <v>0</v>
      </c>
      <c r="S35" s="4">
        <v>3</v>
      </c>
      <c r="T35" s="4">
        <v>0</v>
      </c>
      <c r="U35" s="4">
        <v>0</v>
      </c>
      <c r="V35" s="4">
        <f>IF(ISERROR(VLOOKUP($S$35,'TAR FIN'!$A$1:$O$85,15,0)),0,VLOOKUP($S$35,'TAR FIN'!$A$1:$O$85,15,0))</f>
        <v>78.180000000000007</v>
      </c>
      <c r="W35" s="4">
        <f>IF(ISERROR(VLOOKUP($T$35,'TAR FIN'!$A$1:$O$85,15,0)),0,VLOOKUP($T$35,'TAR FIN'!$A$1:$O$85,15,0))</f>
        <v>0</v>
      </c>
      <c r="X35" s="4">
        <f>IF(ISERROR(VLOOKUP($U$35,'TAR FIN'!$A$1:$O$85,15,0)),0,VLOOKUP($U$35,'TAR FIN'!$A$1:$O$85,15,0))</f>
        <v>0</v>
      </c>
      <c r="Y35" s="4">
        <f ca="1">('TUSD BE'!$AM$5+'TUSD BF'!$AM$5+'TUSD CVA'!$AM$5)*1</f>
        <v>87.613035401223812</v>
      </c>
      <c r="Z35" s="4">
        <f ca="1">('TUSD BE'!$AM$7+'TUSD BF'!$AM$7+'TUSD CVA'!$AM$7)*1</f>
        <v>100.14715657738388</v>
      </c>
      <c r="AA35" s="4"/>
      <c r="AB35" s="4">
        <f>$K$35*$V$35</f>
        <v>3400.8300000000004</v>
      </c>
      <c r="AC35" s="4">
        <f>$M$35*$W$35</f>
        <v>0</v>
      </c>
      <c r="AD35" s="4">
        <f>$O$35*$X$35</f>
        <v>0</v>
      </c>
      <c r="AE35" s="4">
        <f ca="1">$K$35*$Y$35</f>
        <v>3811.1670399532359</v>
      </c>
      <c r="AF35" s="4">
        <f ca="1">$M$35*$Z$35</f>
        <v>0</v>
      </c>
      <c r="AG35" s="4">
        <f>$O$35*$AA$35</f>
        <v>0</v>
      </c>
    </row>
    <row r="36" spans="1:33" ht="11.25" customHeight="1" x14ac:dyDescent="0.25">
      <c r="A36" s="3" t="s">
        <v>21</v>
      </c>
      <c r="B36" s="3" t="s">
        <v>35</v>
      </c>
      <c r="C36" s="3" t="s">
        <v>54</v>
      </c>
      <c r="D36" s="3" t="s">
        <v>34</v>
      </c>
      <c r="E36" s="3" t="s">
        <v>25</v>
      </c>
      <c r="F36" s="3" t="s">
        <v>55</v>
      </c>
      <c r="G36" s="3" t="s">
        <v>25</v>
      </c>
      <c r="H36" s="3" t="s">
        <v>37</v>
      </c>
      <c r="I36" s="6">
        <v>44743</v>
      </c>
      <c r="J36" s="4">
        <v>87</v>
      </c>
      <c r="K36" s="4">
        <v>43.5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56</v>
      </c>
      <c r="R36" s="3">
        <v>0</v>
      </c>
      <c r="S36" s="4">
        <v>3</v>
      </c>
      <c r="T36" s="4">
        <v>0</v>
      </c>
      <c r="U36" s="4">
        <v>0</v>
      </c>
      <c r="V36" s="4">
        <f>IF(ISERROR(VLOOKUP($S$36,'TAR FIN'!$A$1:$O$85,15,0)),0,VLOOKUP($S$36,'TAR FIN'!$A$1:$O$85,15,0))</f>
        <v>78.180000000000007</v>
      </c>
      <c r="W36" s="4">
        <f>IF(ISERROR(VLOOKUP($T$36,'TAR FIN'!$A$1:$O$85,15,0)),0,VLOOKUP($T$36,'TAR FIN'!$A$1:$O$85,15,0))</f>
        <v>0</v>
      </c>
      <c r="X36" s="4">
        <f>IF(ISERROR(VLOOKUP($U$36,'TAR FIN'!$A$1:$O$85,15,0)),0,VLOOKUP($U$36,'TAR FIN'!$A$1:$O$85,15,0))</f>
        <v>0</v>
      </c>
      <c r="Y36" s="4">
        <f ca="1">('TUSD BE'!$AM$5+'TUSD BF'!$AM$5+'TUSD CVA'!$AM$5)*1</f>
        <v>87.613035401223812</v>
      </c>
      <c r="Z36" s="4">
        <f ca="1">('TUSD BE'!$AM$7+'TUSD BF'!$AM$7+'TUSD CVA'!$AM$7)*1</f>
        <v>100.14715657738388</v>
      </c>
      <c r="AA36" s="4"/>
      <c r="AB36" s="4">
        <f>$K$36*$V$36</f>
        <v>3400.8300000000004</v>
      </c>
      <c r="AC36" s="4">
        <f>$M$36*$W$36</f>
        <v>0</v>
      </c>
      <c r="AD36" s="4">
        <f>$O$36*$X$36</f>
        <v>0</v>
      </c>
      <c r="AE36" s="4">
        <f ca="1">$K$36*$Y$36</f>
        <v>3811.1670399532359</v>
      </c>
      <c r="AF36" s="4">
        <f ca="1">$M$36*$Z$36</f>
        <v>0</v>
      </c>
      <c r="AG36" s="4">
        <f>$O$36*$AA$36</f>
        <v>0</v>
      </c>
    </row>
    <row r="37" spans="1:33" ht="11.25" customHeight="1" x14ac:dyDescent="0.25">
      <c r="A37" s="3" t="s">
        <v>21</v>
      </c>
      <c r="B37" s="3" t="s">
        <v>35</v>
      </c>
      <c r="C37" s="3" t="s">
        <v>54</v>
      </c>
      <c r="D37" s="3" t="s">
        <v>34</v>
      </c>
      <c r="E37" s="3" t="s">
        <v>25</v>
      </c>
      <c r="F37" s="3" t="s">
        <v>55</v>
      </c>
      <c r="G37" s="3" t="s">
        <v>25</v>
      </c>
      <c r="H37" s="3" t="s">
        <v>37</v>
      </c>
      <c r="I37" s="6">
        <v>44774</v>
      </c>
      <c r="J37" s="4">
        <v>87</v>
      </c>
      <c r="K37" s="4">
        <v>43.5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56</v>
      </c>
      <c r="R37" s="3">
        <v>0</v>
      </c>
      <c r="S37" s="4">
        <v>3</v>
      </c>
      <c r="T37" s="4">
        <v>0</v>
      </c>
      <c r="U37" s="4">
        <v>0</v>
      </c>
      <c r="V37" s="4">
        <f>IF(ISERROR(VLOOKUP($S$37,'TAR FIN'!$A$1:$O$85,15,0)),0,VLOOKUP($S$37,'TAR FIN'!$A$1:$O$85,15,0))</f>
        <v>78.180000000000007</v>
      </c>
      <c r="W37" s="4">
        <f>IF(ISERROR(VLOOKUP($T$37,'TAR FIN'!$A$1:$O$85,15,0)),0,VLOOKUP($T$37,'TAR FIN'!$A$1:$O$85,15,0))</f>
        <v>0</v>
      </c>
      <c r="X37" s="4">
        <f>IF(ISERROR(VLOOKUP($U$37,'TAR FIN'!$A$1:$O$85,15,0)),0,VLOOKUP($U$37,'TAR FIN'!$A$1:$O$85,15,0))</f>
        <v>0</v>
      </c>
      <c r="Y37" s="4">
        <f ca="1">('TUSD BE'!$AM$5+'TUSD BF'!$AM$5+'TUSD CVA'!$AM$5)*1</f>
        <v>87.613035401223812</v>
      </c>
      <c r="Z37" s="4">
        <f ca="1">('TUSD BE'!$AM$7+'TUSD BF'!$AM$7+'TUSD CVA'!$AM$7)*1</f>
        <v>100.14715657738388</v>
      </c>
      <c r="AA37" s="4"/>
      <c r="AB37" s="4">
        <f>$K$37*$V$37</f>
        <v>3400.8300000000004</v>
      </c>
      <c r="AC37" s="4">
        <f>$M$37*$W$37</f>
        <v>0</v>
      </c>
      <c r="AD37" s="4">
        <f>$O$37*$X$37</f>
        <v>0</v>
      </c>
      <c r="AE37" s="4">
        <f ca="1">$K$37*$Y$37</f>
        <v>3811.1670399532359</v>
      </c>
      <c r="AF37" s="4">
        <f ca="1">$M$37*$Z$37</f>
        <v>0</v>
      </c>
      <c r="AG37" s="4">
        <f>$O$37*$AA$37</f>
        <v>0</v>
      </c>
    </row>
    <row r="38" spans="1:33" ht="11.25" customHeight="1" x14ac:dyDescent="0.25">
      <c r="A38" s="3" t="s">
        <v>21</v>
      </c>
      <c r="B38" s="3" t="s">
        <v>35</v>
      </c>
      <c r="C38" s="3" t="s">
        <v>36</v>
      </c>
      <c r="D38" s="3" t="s">
        <v>39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200.87100000000001</v>
      </c>
      <c r="M38" s="4">
        <v>200.87100000000001</v>
      </c>
      <c r="N38" s="4">
        <v>200.87100000000001</v>
      </c>
      <c r="O38" s="4">
        <v>200.87100000000001</v>
      </c>
      <c r="P38" s="4">
        <v>0</v>
      </c>
      <c r="Q38" s="3" t="s">
        <v>26</v>
      </c>
      <c r="R38" s="3">
        <v>0</v>
      </c>
      <c r="S38" s="4">
        <v>0</v>
      </c>
      <c r="T38" s="4">
        <v>15</v>
      </c>
      <c r="U38" s="4">
        <v>67</v>
      </c>
      <c r="V38" s="4">
        <f>IF(ISERROR(VLOOKUP($S$38,'TAR FIN'!$A$1:$O$85,15,0)),0,VLOOKUP($S$38,'TAR FIN'!$A$1:$O$85,15,0))</f>
        <v>0</v>
      </c>
      <c r="W38" s="4">
        <f>IF(ISERROR(VLOOKUP($T$38,'TAR FIN'!$A$1:$O$85,15,0)),0,VLOOKUP($T$38,'TAR FIN'!$A$1:$O$85,15,0))</f>
        <v>56.92</v>
      </c>
      <c r="X38" s="4">
        <f>IF(ISERROR(VLOOKUP($U$38,'TAR FIN'!$A$1:$O$85,15,0)),0,VLOOKUP($U$38,'TAR FIN'!$A$1:$O$85,15,0))</f>
        <v>267.91000000000003</v>
      </c>
      <c r="Y38" s="4"/>
      <c r="Z38" s="4">
        <f ca="1">('TUSD BE'!$AM$12+'TUSD BF'!$AM$12+'TUSD CVA'!$AM$12)*1</f>
        <v>100.14715657738388</v>
      </c>
      <c r="AA38" s="4">
        <f>('TE BE'!$AB$6+'TE BF'!$AB$6+'TE CVA'!$AB$6)*1</f>
        <v>185.42082399535556</v>
      </c>
      <c r="AB38" s="4">
        <f>$K$38*$V$38</f>
        <v>0</v>
      </c>
      <c r="AC38" s="4">
        <f>$M$38*$W$38</f>
        <v>11433.57732</v>
      </c>
      <c r="AD38" s="4">
        <f>$O$38*$X$38</f>
        <v>53815.349610000005</v>
      </c>
      <c r="AE38" s="4">
        <f>$K$38*$Y$38</f>
        <v>0</v>
      </c>
      <c r="AF38" s="4">
        <f ca="1">$M$38*$Z$38</f>
        <v>20116.659488855679</v>
      </c>
      <c r="AG38" s="4">
        <f>$O$38*$AA$38</f>
        <v>37245.666336771072</v>
      </c>
    </row>
    <row r="39" spans="1:33" ht="11.25" customHeight="1" x14ac:dyDescent="0.25">
      <c r="A39" s="3" t="s">
        <v>21</v>
      </c>
      <c r="B39" s="3" t="s">
        <v>35</v>
      </c>
      <c r="C39" s="3" t="s">
        <v>36</v>
      </c>
      <c r="D39" s="3" t="s">
        <v>39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201.52500000000001</v>
      </c>
      <c r="M39" s="4">
        <v>201.52500000000001</v>
      </c>
      <c r="N39" s="4">
        <v>201.52500000000001</v>
      </c>
      <c r="O39" s="4">
        <v>201.52500000000001</v>
      </c>
      <c r="P39" s="4">
        <v>0</v>
      </c>
      <c r="Q39" s="3" t="s">
        <v>26</v>
      </c>
      <c r="R39" s="3">
        <v>0</v>
      </c>
      <c r="S39" s="4">
        <v>0</v>
      </c>
      <c r="T39" s="4">
        <v>15</v>
      </c>
      <c r="U39" s="4">
        <v>67</v>
      </c>
      <c r="V39" s="4">
        <f>IF(ISERROR(VLOOKUP($S$39,'TAR FIN'!$A$1:$O$85,15,0)),0,VLOOKUP($S$39,'TAR FIN'!$A$1:$O$85,15,0))</f>
        <v>0</v>
      </c>
      <c r="W39" s="4">
        <f>IF(ISERROR(VLOOKUP($T$39,'TAR FIN'!$A$1:$O$85,15,0)),0,VLOOKUP($T$39,'TAR FIN'!$A$1:$O$85,15,0))</f>
        <v>56.92</v>
      </c>
      <c r="X39" s="4">
        <f>IF(ISERROR(VLOOKUP($U$39,'TAR FIN'!$A$1:$O$85,15,0)),0,VLOOKUP($U$39,'TAR FIN'!$A$1:$O$85,15,0))</f>
        <v>267.91000000000003</v>
      </c>
      <c r="Y39" s="4"/>
      <c r="Z39" s="4">
        <f ca="1">('TUSD BE'!$AM$12+'TUSD BF'!$AM$12+'TUSD CVA'!$AM$12)*1</f>
        <v>100.14715657738388</v>
      </c>
      <c r="AA39" s="4">
        <f>('TE BE'!$AB$6+'TE BF'!$AB$6+'TE CVA'!$AB$6)*1</f>
        <v>185.42082399535556</v>
      </c>
      <c r="AB39" s="4">
        <f>$K$39*$V$39</f>
        <v>0</v>
      </c>
      <c r="AC39" s="4">
        <f>$M$39*$W$39</f>
        <v>11470.803</v>
      </c>
      <c r="AD39" s="4">
        <f>$O$39*$X$39</f>
        <v>53990.562750000005</v>
      </c>
      <c r="AE39" s="4">
        <f>$K$39*$Y$39</f>
        <v>0</v>
      </c>
      <c r="AF39" s="4">
        <f ca="1">$M$39*$Z$39</f>
        <v>20182.155729257287</v>
      </c>
      <c r="AG39" s="4">
        <f>$O$39*$AA$39</f>
        <v>37366.931555664029</v>
      </c>
    </row>
    <row r="40" spans="1:33" ht="11.25" customHeight="1" x14ac:dyDescent="0.25">
      <c r="A40" s="3" t="s">
        <v>21</v>
      </c>
      <c r="B40" s="3" t="s">
        <v>35</v>
      </c>
      <c r="C40" s="3" t="s">
        <v>36</v>
      </c>
      <c r="D40" s="3" t="s">
        <v>39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208.23400000000001</v>
      </c>
      <c r="M40" s="4">
        <v>208.23400000000001</v>
      </c>
      <c r="N40" s="4">
        <v>208.23400000000001</v>
      </c>
      <c r="O40" s="4">
        <v>208.23400000000001</v>
      </c>
      <c r="P40" s="4">
        <v>0</v>
      </c>
      <c r="Q40" s="3" t="s">
        <v>26</v>
      </c>
      <c r="R40" s="3">
        <v>0</v>
      </c>
      <c r="S40" s="4">
        <v>0</v>
      </c>
      <c r="T40" s="4">
        <v>15</v>
      </c>
      <c r="U40" s="4">
        <v>67</v>
      </c>
      <c r="V40" s="4">
        <f>IF(ISERROR(VLOOKUP($S$40,'TAR FIN'!$A$1:$O$85,15,0)),0,VLOOKUP($S$40,'TAR FIN'!$A$1:$O$85,15,0))</f>
        <v>0</v>
      </c>
      <c r="W40" s="4">
        <f>IF(ISERROR(VLOOKUP($T$40,'TAR FIN'!$A$1:$O$85,15,0)),0,VLOOKUP($T$40,'TAR FIN'!$A$1:$O$85,15,0))</f>
        <v>56.92</v>
      </c>
      <c r="X40" s="4">
        <f>IF(ISERROR(VLOOKUP($U$40,'TAR FIN'!$A$1:$O$85,15,0)),0,VLOOKUP($U$40,'TAR FIN'!$A$1:$O$85,15,0))</f>
        <v>267.91000000000003</v>
      </c>
      <c r="Y40" s="4"/>
      <c r="Z40" s="4">
        <f ca="1">('TUSD BE'!$AM$12+'TUSD BF'!$AM$12+'TUSD CVA'!$AM$12)*1</f>
        <v>100.14715657738388</v>
      </c>
      <c r="AA40" s="4">
        <f>('TE BE'!$AB$6+'TE BF'!$AB$6+'TE CVA'!$AB$6)*1</f>
        <v>185.42082399535556</v>
      </c>
      <c r="AB40" s="4">
        <f>$K$40*$V$40</f>
        <v>0</v>
      </c>
      <c r="AC40" s="4">
        <f>$M$40*$W$40</f>
        <v>11852.67928</v>
      </c>
      <c r="AD40" s="4">
        <f>$O$40*$X$40</f>
        <v>55787.970940000007</v>
      </c>
      <c r="AE40" s="4">
        <f>$K$40*$Y$40</f>
        <v>0</v>
      </c>
      <c r="AF40" s="4">
        <f ca="1">$M$40*$Z$40</f>
        <v>20854.043002734958</v>
      </c>
      <c r="AG40" s="4">
        <f>$O$40*$AA$40</f>
        <v>38610.919863848874</v>
      </c>
    </row>
    <row r="41" spans="1:33" ht="11.25" customHeight="1" x14ac:dyDescent="0.25">
      <c r="A41" s="3" t="s">
        <v>21</v>
      </c>
      <c r="B41" s="3" t="s">
        <v>35</v>
      </c>
      <c r="C41" s="3" t="s">
        <v>36</v>
      </c>
      <c r="D41" s="3" t="s">
        <v>39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227.43100000000001</v>
      </c>
      <c r="M41" s="4">
        <v>227.43100000000001</v>
      </c>
      <c r="N41" s="4">
        <v>227.43100000000001</v>
      </c>
      <c r="O41" s="4">
        <v>227.43100000000001</v>
      </c>
      <c r="P41" s="4">
        <v>0</v>
      </c>
      <c r="Q41" s="3" t="s">
        <v>26</v>
      </c>
      <c r="R41" s="3">
        <v>0</v>
      </c>
      <c r="S41" s="4">
        <v>0</v>
      </c>
      <c r="T41" s="4">
        <v>15</v>
      </c>
      <c r="U41" s="4">
        <v>67</v>
      </c>
      <c r="V41" s="4">
        <f>IF(ISERROR(VLOOKUP($S$41,'TAR FIN'!$A$1:$O$85,15,0)),0,VLOOKUP($S$41,'TAR FIN'!$A$1:$O$85,15,0))</f>
        <v>0</v>
      </c>
      <c r="W41" s="4">
        <f>IF(ISERROR(VLOOKUP($T$41,'TAR FIN'!$A$1:$O$85,15,0)),0,VLOOKUP($T$41,'TAR FIN'!$A$1:$O$85,15,0))</f>
        <v>56.92</v>
      </c>
      <c r="X41" s="4">
        <f>IF(ISERROR(VLOOKUP($U$41,'TAR FIN'!$A$1:$O$85,15,0)),0,VLOOKUP($U$41,'TAR FIN'!$A$1:$O$85,15,0))</f>
        <v>267.91000000000003</v>
      </c>
      <c r="Y41" s="4"/>
      <c r="Z41" s="4">
        <f ca="1">('TUSD BE'!$AM$12+'TUSD BF'!$AM$12+'TUSD CVA'!$AM$12)*1</f>
        <v>100.14715657738388</v>
      </c>
      <c r="AA41" s="4">
        <f>('TE BE'!$AB$6+'TE BF'!$AB$6+'TE CVA'!$AB$6)*1</f>
        <v>185.42082399535556</v>
      </c>
      <c r="AB41" s="4">
        <f>$K$41*$V$41</f>
        <v>0</v>
      </c>
      <c r="AC41" s="4">
        <f>$M$41*$W$41</f>
        <v>12945.372520000001</v>
      </c>
      <c r="AD41" s="4">
        <f>$O$41*$X$41</f>
        <v>60931.03921000001</v>
      </c>
      <c r="AE41" s="4">
        <f>$K$41*$Y$41</f>
        <v>0</v>
      </c>
      <c r="AF41" s="4">
        <f ca="1">$M$41*$Z$41</f>
        <v>22776.567967550996</v>
      </c>
      <c r="AG41" s="4">
        <f>$O$41*$AA$41</f>
        <v>42170.443422087716</v>
      </c>
    </row>
    <row r="42" spans="1:33" ht="11.25" customHeight="1" x14ac:dyDescent="0.25">
      <c r="A42" s="3" t="s">
        <v>21</v>
      </c>
      <c r="B42" s="3" t="s">
        <v>35</v>
      </c>
      <c r="C42" s="3" t="s">
        <v>36</v>
      </c>
      <c r="D42" s="3" t="s">
        <v>39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219.87799999999999</v>
      </c>
      <c r="M42" s="4">
        <v>219.87799999999999</v>
      </c>
      <c r="N42" s="4">
        <v>219.87799999999999</v>
      </c>
      <c r="O42" s="4">
        <v>219.87799999999999</v>
      </c>
      <c r="P42" s="4">
        <v>0</v>
      </c>
      <c r="Q42" s="3" t="s">
        <v>26</v>
      </c>
      <c r="R42" s="3">
        <v>0</v>
      </c>
      <c r="S42" s="4">
        <v>0</v>
      </c>
      <c r="T42" s="4">
        <v>15</v>
      </c>
      <c r="U42" s="4">
        <v>67</v>
      </c>
      <c r="V42" s="4">
        <f>IF(ISERROR(VLOOKUP($S$42,'TAR FIN'!$A$1:$O$85,15,0)),0,VLOOKUP($S$42,'TAR FIN'!$A$1:$O$85,15,0))</f>
        <v>0</v>
      </c>
      <c r="W42" s="4">
        <f>IF(ISERROR(VLOOKUP($T$42,'TAR FIN'!$A$1:$O$85,15,0)),0,VLOOKUP($T$42,'TAR FIN'!$A$1:$O$85,15,0))</f>
        <v>56.92</v>
      </c>
      <c r="X42" s="4">
        <f>IF(ISERROR(VLOOKUP($U$42,'TAR FIN'!$A$1:$O$85,15,0)),0,VLOOKUP($U$42,'TAR FIN'!$A$1:$O$85,15,0))</f>
        <v>267.91000000000003</v>
      </c>
      <c r="Y42" s="4"/>
      <c r="Z42" s="4">
        <f ca="1">('TUSD BE'!$AM$12+'TUSD BF'!$AM$12+'TUSD CVA'!$AM$12)*1</f>
        <v>100.14715657738388</v>
      </c>
      <c r="AA42" s="4">
        <f>('TE BE'!$AB$6+'TE BF'!$AB$6+'TE CVA'!$AB$6)*1</f>
        <v>185.42082399535556</v>
      </c>
      <c r="AB42" s="4">
        <f>$K$42*$V$42</f>
        <v>0</v>
      </c>
      <c r="AC42" s="4">
        <f>$M$42*$W$42</f>
        <v>12515.455759999999</v>
      </c>
      <c r="AD42" s="4">
        <f>$O$42*$X$42</f>
        <v>58907.51498</v>
      </c>
      <c r="AE42" s="4">
        <f>$K$42*$Y$42</f>
        <v>0</v>
      </c>
      <c r="AF42" s="4">
        <f ca="1">$M$42*$Z$42</f>
        <v>22020.156493922012</v>
      </c>
      <c r="AG42" s="4">
        <f>$O$42*$AA$42</f>
        <v>40769.959938450789</v>
      </c>
    </row>
    <row r="43" spans="1:33" ht="11.25" customHeight="1" x14ac:dyDescent="0.25">
      <c r="A43" s="3" t="s">
        <v>21</v>
      </c>
      <c r="B43" s="3" t="s">
        <v>35</v>
      </c>
      <c r="C43" s="3" t="s">
        <v>36</v>
      </c>
      <c r="D43" s="3" t="s">
        <v>39</v>
      </c>
      <c r="E43" s="3" t="s">
        <v>25</v>
      </c>
      <c r="F43" s="3" t="s">
        <v>25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222.27699999999999</v>
      </c>
      <c r="M43" s="4">
        <v>222.27699999999999</v>
      </c>
      <c r="N43" s="4">
        <v>222.27699999999999</v>
      </c>
      <c r="O43" s="4">
        <v>222.27699999999999</v>
      </c>
      <c r="P43" s="4">
        <v>0</v>
      </c>
      <c r="Q43" s="3" t="s">
        <v>26</v>
      </c>
      <c r="R43" s="3">
        <v>0</v>
      </c>
      <c r="S43" s="4">
        <v>0</v>
      </c>
      <c r="T43" s="4">
        <v>15</v>
      </c>
      <c r="U43" s="4">
        <v>67</v>
      </c>
      <c r="V43" s="4">
        <f>IF(ISERROR(VLOOKUP($S$43,'TAR FIN'!$A$1:$O$85,15,0)),0,VLOOKUP($S$43,'TAR FIN'!$A$1:$O$85,15,0))</f>
        <v>0</v>
      </c>
      <c r="W43" s="4">
        <f>IF(ISERROR(VLOOKUP($T$43,'TAR FIN'!$A$1:$O$85,15,0)),0,VLOOKUP($T$43,'TAR FIN'!$A$1:$O$85,15,0))</f>
        <v>56.92</v>
      </c>
      <c r="X43" s="4">
        <f>IF(ISERROR(VLOOKUP($U$43,'TAR FIN'!$A$1:$O$85,15,0)),0,VLOOKUP($U$43,'TAR FIN'!$A$1:$O$85,15,0))</f>
        <v>267.91000000000003</v>
      </c>
      <c r="Y43" s="4"/>
      <c r="Z43" s="4">
        <f ca="1">('TUSD BE'!$AM$12+'TUSD BF'!$AM$12+'TUSD CVA'!$AM$12)*1</f>
        <v>100.14715657738388</v>
      </c>
      <c r="AA43" s="4">
        <f>('TE BE'!$AB$6+'TE BF'!$AB$6+'TE CVA'!$AB$6)*1</f>
        <v>185.42082399535556</v>
      </c>
      <c r="AB43" s="4">
        <f>$K$43*$V$43</f>
        <v>0</v>
      </c>
      <c r="AC43" s="4">
        <f>$M$43*$W$43</f>
        <v>12652.00684</v>
      </c>
      <c r="AD43" s="4">
        <f>$O$43*$X$43</f>
        <v>59550.231070000002</v>
      </c>
      <c r="AE43" s="4">
        <f>$K$43*$Y$43</f>
        <v>0</v>
      </c>
      <c r="AF43" s="4">
        <f ca="1">$M$43*$Z$43</f>
        <v>22260.409522551156</v>
      </c>
      <c r="AG43" s="4">
        <f>$O$43*$AA$43</f>
        <v>41214.784495215645</v>
      </c>
    </row>
    <row r="44" spans="1:33" ht="11.25" customHeight="1" x14ac:dyDescent="0.25">
      <c r="A44" s="3" t="s">
        <v>21</v>
      </c>
      <c r="B44" s="3" t="s">
        <v>35</v>
      </c>
      <c r="C44" s="3" t="s">
        <v>36</v>
      </c>
      <c r="D44" s="3" t="s">
        <v>39</v>
      </c>
      <c r="E44" s="3" t="s">
        <v>25</v>
      </c>
      <c r="F44" s="3" t="s">
        <v>25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279.68700000000001</v>
      </c>
      <c r="M44" s="4">
        <v>279.68700000000001</v>
      </c>
      <c r="N44" s="4">
        <v>279.68700000000001</v>
      </c>
      <c r="O44" s="4">
        <v>279.68700000000001</v>
      </c>
      <c r="P44" s="4">
        <v>0</v>
      </c>
      <c r="Q44" s="3" t="s">
        <v>26</v>
      </c>
      <c r="R44" s="3">
        <v>0</v>
      </c>
      <c r="S44" s="4">
        <v>0</v>
      </c>
      <c r="T44" s="4">
        <v>15</v>
      </c>
      <c r="U44" s="4">
        <v>67</v>
      </c>
      <c r="V44" s="4">
        <f>IF(ISERROR(VLOOKUP($S$44,'TAR FIN'!$A$1:$O$85,15,0)),0,VLOOKUP($S$44,'TAR FIN'!$A$1:$O$85,15,0))</f>
        <v>0</v>
      </c>
      <c r="W44" s="4">
        <f>IF(ISERROR(VLOOKUP($T$44,'TAR FIN'!$A$1:$O$85,15,0)),0,VLOOKUP($T$44,'TAR FIN'!$A$1:$O$85,15,0))</f>
        <v>56.92</v>
      </c>
      <c r="X44" s="4">
        <f>IF(ISERROR(VLOOKUP($U$44,'TAR FIN'!$A$1:$O$85,15,0)),0,VLOOKUP($U$44,'TAR FIN'!$A$1:$O$85,15,0))</f>
        <v>267.91000000000003</v>
      </c>
      <c r="Y44" s="4"/>
      <c r="Z44" s="4">
        <f ca="1">('TUSD BE'!$AM$12+'TUSD BF'!$AM$12+'TUSD CVA'!$AM$12)*1</f>
        <v>100.14715657738388</v>
      </c>
      <c r="AA44" s="4">
        <f>('TE BE'!$AB$6+'TE BF'!$AB$6+'TE CVA'!$AB$6)*1</f>
        <v>185.42082399535556</v>
      </c>
      <c r="AB44" s="4">
        <f>$K$44*$V$44</f>
        <v>0</v>
      </c>
      <c r="AC44" s="4">
        <f>$M$44*$W$44</f>
        <v>15919.78404</v>
      </c>
      <c r="AD44" s="4">
        <f>$O$44*$X$44</f>
        <v>74930.944170000017</v>
      </c>
      <c r="AE44" s="4">
        <f>$K$44*$Y$44</f>
        <v>0</v>
      </c>
      <c r="AF44" s="4">
        <f ca="1">$M$44*$Z$44</f>
        <v>28009.857781658768</v>
      </c>
      <c r="AG44" s="4">
        <f>$O$44*$AA$44</f>
        <v>51859.794000789014</v>
      </c>
    </row>
    <row r="45" spans="1:33" ht="11.25" customHeight="1" x14ac:dyDescent="0.25">
      <c r="A45" s="3" t="s">
        <v>21</v>
      </c>
      <c r="B45" s="3" t="s">
        <v>35</v>
      </c>
      <c r="C45" s="3" t="s">
        <v>36</v>
      </c>
      <c r="D45" s="3" t="s">
        <v>39</v>
      </c>
      <c r="E45" s="3" t="s">
        <v>25</v>
      </c>
      <c r="F45" s="3" t="s">
        <v>25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224.06100000000001</v>
      </c>
      <c r="M45" s="4">
        <v>224.06100000000001</v>
      </c>
      <c r="N45" s="4">
        <v>224.06100000000001</v>
      </c>
      <c r="O45" s="4">
        <v>224.06100000000001</v>
      </c>
      <c r="P45" s="4">
        <v>0</v>
      </c>
      <c r="Q45" s="3" t="s">
        <v>26</v>
      </c>
      <c r="R45" s="3">
        <v>0</v>
      </c>
      <c r="S45" s="4">
        <v>0</v>
      </c>
      <c r="T45" s="4">
        <v>15</v>
      </c>
      <c r="U45" s="4">
        <v>67</v>
      </c>
      <c r="V45" s="4">
        <f>IF(ISERROR(VLOOKUP($S$45,'TAR FIN'!$A$1:$O$85,15,0)),0,VLOOKUP($S$45,'TAR FIN'!$A$1:$O$85,15,0))</f>
        <v>0</v>
      </c>
      <c r="W45" s="4">
        <f>IF(ISERROR(VLOOKUP($T$45,'TAR FIN'!$A$1:$O$85,15,0)),0,VLOOKUP($T$45,'TAR FIN'!$A$1:$O$85,15,0))</f>
        <v>56.92</v>
      </c>
      <c r="X45" s="4">
        <f>IF(ISERROR(VLOOKUP($U$45,'TAR FIN'!$A$1:$O$85,15,0)),0,VLOOKUP($U$45,'TAR FIN'!$A$1:$O$85,15,0))</f>
        <v>267.91000000000003</v>
      </c>
      <c r="Y45" s="4"/>
      <c r="Z45" s="4">
        <f ca="1">('TUSD BE'!$AM$12+'TUSD BF'!$AM$12+'TUSD CVA'!$AM$12)*1</f>
        <v>100.14715657738388</v>
      </c>
      <c r="AA45" s="4">
        <f>('TE BE'!$AB$6+'TE BF'!$AB$6+'TE CVA'!$AB$6)*1</f>
        <v>185.42082399535556</v>
      </c>
      <c r="AB45" s="4">
        <f>$K$45*$V$45</f>
        <v>0</v>
      </c>
      <c r="AC45" s="4">
        <f>$M$45*$W$45</f>
        <v>12753.55212</v>
      </c>
      <c r="AD45" s="4">
        <f>$O$45*$X$45</f>
        <v>60028.182510000006</v>
      </c>
      <c r="AE45" s="4">
        <f>$K$45*$Y$45</f>
        <v>0</v>
      </c>
      <c r="AF45" s="4">
        <f ca="1">$M$45*$Z$45</f>
        <v>22439.07204988521</v>
      </c>
      <c r="AG45" s="4">
        <f>$O$45*$AA$45</f>
        <v>41545.575245223365</v>
      </c>
    </row>
    <row r="46" spans="1:33" ht="11.25" customHeight="1" x14ac:dyDescent="0.25">
      <c r="A46" s="3" t="s">
        <v>21</v>
      </c>
      <c r="B46" s="3" t="s">
        <v>35</v>
      </c>
      <c r="C46" s="3" t="s">
        <v>36</v>
      </c>
      <c r="D46" s="3" t="s">
        <v>39</v>
      </c>
      <c r="E46" s="3" t="s">
        <v>25</v>
      </c>
      <c r="F46" s="3" t="s">
        <v>25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224.512</v>
      </c>
      <c r="M46" s="4">
        <v>224.512</v>
      </c>
      <c r="N46" s="4">
        <v>224.512</v>
      </c>
      <c r="O46" s="4">
        <v>224.512</v>
      </c>
      <c r="P46" s="4">
        <v>0</v>
      </c>
      <c r="Q46" s="3" t="s">
        <v>26</v>
      </c>
      <c r="R46" s="3">
        <v>0</v>
      </c>
      <c r="S46" s="4">
        <v>0</v>
      </c>
      <c r="T46" s="4">
        <v>15</v>
      </c>
      <c r="U46" s="4">
        <v>67</v>
      </c>
      <c r="V46" s="4">
        <f>IF(ISERROR(VLOOKUP($S$46,'TAR FIN'!$A$1:$O$85,15,0)),0,VLOOKUP($S$46,'TAR FIN'!$A$1:$O$85,15,0))</f>
        <v>0</v>
      </c>
      <c r="W46" s="4">
        <f>IF(ISERROR(VLOOKUP($T$46,'TAR FIN'!$A$1:$O$85,15,0)),0,VLOOKUP($T$46,'TAR FIN'!$A$1:$O$85,15,0))</f>
        <v>56.92</v>
      </c>
      <c r="X46" s="4">
        <f>IF(ISERROR(VLOOKUP($U$46,'TAR FIN'!$A$1:$O$85,15,0)),0,VLOOKUP($U$46,'TAR FIN'!$A$1:$O$85,15,0))</f>
        <v>267.91000000000003</v>
      </c>
      <c r="Y46" s="4"/>
      <c r="Z46" s="4">
        <f ca="1">('TUSD BE'!$AM$12+'TUSD BF'!$AM$12+'TUSD CVA'!$AM$12)*1</f>
        <v>100.14715657738388</v>
      </c>
      <c r="AA46" s="4">
        <f>('TE BE'!$AB$6+'TE BF'!$AB$6+'TE CVA'!$AB$6)*1</f>
        <v>185.42082399535556</v>
      </c>
      <c r="AB46" s="4">
        <f>$K$46*$V$46</f>
        <v>0</v>
      </c>
      <c r="AC46" s="4">
        <f>$M$46*$W$46</f>
        <v>12779.223040000001</v>
      </c>
      <c r="AD46" s="4">
        <f>$O$46*$X$46</f>
        <v>60149.009920000004</v>
      </c>
      <c r="AE46" s="4">
        <f>$K$46*$Y$46</f>
        <v>0</v>
      </c>
      <c r="AF46" s="4">
        <f ca="1">$M$46*$Z$46</f>
        <v>22484.238417501609</v>
      </c>
      <c r="AG46" s="4">
        <f>$O$46*$AA$46</f>
        <v>41629.200036845265</v>
      </c>
    </row>
    <row r="47" spans="1:33" ht="11.25" customHeight="1" x14ac:dyDescent="0.25">
      <c r="A47" s="3" t="s">
        <v>21</v>
      </c>
      <c r="B47" s="3" t="s">
        <v>35</v>
      </c>
      <c r="C47" s="3" t="s">
        <v>36</v>
      </c>
      <c r="D47" s="3" t="s">
        <v>39</v>
      </c>
      <c r="E47" s="3" t="s">
        <v>25</v>
      </c>
      <c r="F47" s="3" t="s">
        <v>25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175.81</v>
      </c>
      <c r="M47" s="4">
        <v>175.81</v>
      </c>
      <c r="N47" s="4">
        <v>175.81</v>
      </c>
      <c r="O47" s="4">
        <v>175.81</v>
      </c>
      <c r="P47" s="4">
        <v>0</v>
      </c>
      <c r="Q47" s="3" t="s">
        <v>26</v>
      </c>
      <c r="R47" s="3">
        <v>0</v>
      </c>
      <c r="S47" s="4">
        <v>0</v>
      </c>
      <c r="T47" s="4">
        <v>15</v>
      </c>
      <c r="U47" s="4">
        <v>67</v>
      </c>
      <c r="V47" s="4">
        <f>IF(ISERROR(VLOOKUP($S$47,'TAR FIN'!$A$1:$O$85,15,0)),0,VLOOKUP($S$47,'TAR FIN'!$A$1:$O$85,15,0))</f>
        <v>0</v>
      </c>
      <c r="W47" s="4">
        <f>IF(ISERROR(VLOOKUP($T$47,'TAR FIN'!$A$1:$O$85,15,0)),0,VLOOKUP($T$47,'TAR FIN'!$A$1:$O$85,15,0))</f>
        <v>56.92</v>
      </c>
      <c r="X47" s="4">
        <f>IF(ISERROR(VLOOKUP($U$47,'TAR FIN'!$A$1:$O$85,15,0)),0,VLOOKUP($U$47,'TAR FIN'!$A$1:$O$85,15,0))</f>
        <v>267.91000000000003</v>
      </c>
      <c r="Y47" s="4"/>
      <c r="Z47" s="4">
        <f ca="1">('TUSD BE'!$AM$12+'TUSD BF'!$AM$12+'TUSD CVA'!$AM$12)*1</f>
        <v>100.14715657738388</v>
      </c>
      <c r="AA47" s="4">
        <f>('TE BE'!$AB$6+'TE BF'!$AB$6+'TE CVA'!$AB$6)*1</f>
        <v>185.42082399535556</v>
      </c>
      <c r="AB47" s="4">
        <f>$K$47*$V$47</f>
        <v>0</v>
      </c>
      <c r="AC47" s="4">
        <f>$M$47*$W$47</f>
        <v>10007.1052</v>
      </c>
      <c r="AD47" s="4">
        <f>$O$47*$X$47</f>
        <v>47101.257100000003</v>
      </c>
      <c r="AE47" s="4">
        <f>$K$47*$Y$47</f>
        <v>0</v>
      </c>
      <c r="AF47" s="4">
        <f ca="1">$M$47*$Z$47</f>
        <v>17606.87159786986</v>
      </c>
      <c r="AG47" s="4">
        <f>$O$47*$AA$47</f>
        <v>32598.835066623462</v>
      </c>
    </row>
    <row r="48" spans="1:33" ht="11.25" customHeight="1" x14ac:dyDescent="0.25">
      <c r="A48" s="3" t="s">
        <v>28</v>
      </c>
      <c r="B48" s="3" t="s">
        <v>35</v>
      </c>
      <c r="C48" s="3" t="s">
        <v>36</v>
      </c>
      <c r="D48" s="3" t="s">
        <v>39</v>
      </c>
      <c r="E48" s="3" t="s">
        <v>25</v>
      </c>
      <c r="F48" s="3" t="s">
        <v>25</v>
      </c>
      <c r="G48" s="3" t="s">
        <v>25</v>
      </c>
      <c r="H48" s="3" t="s">
        <v>38</v>
      </c>
      <c r="I48" s="6">
        <v>44713</v>
      </c>
      <c r="J48" s="4">
        <v>0</v>
      </c>
      <c r="K48" s="4">
        <v>0</v>
      </c>
      <c r="L48" s="4">
        <v>24.280999999999999</v>
      </c>
      <c r="M48" s="4">
        <v>24.280999999999999</v>
      </c>
      <c r="N48" s="4">
        <v>24.280999999999999</v>
      </c>
      <c r="O48" s="4">
        <v>24.280999999999999</v>
      </c>
      <c r="P48" s="4">
        <v>0</v>
      </c>
      <c r="Q48" s="3" t="s">
        <v>26</v>
      </c>
      <c r="R48" s="3">
        <v>0</v>
      </c>
      <c r="S48" s="4">
        <v>0</v>
      </c>
      <c r="T48" s="4">
        <v>15</v>
      </c>
      <c r="U48" s="4">
        <v>67</v>
      </c>
      <c r="V48" s="4">
        <f>IF(ISERROR(VLOOKUP($S$48,'TAR FIN'!$A$1:$O$85,15,0)),0,VLOOKUP($S$48,'TAR FIN'!$A$1:$O$85,15,0))</f>
        <v>0</v>
      </c>
      <c r="W48" s="4">
        <f>IF(ISERROR(VLOOKUP($T$48,'TAR FIN'!$A$1:$O$85,15,0)),0,VLOOKUP($T$48,'TAR FIN'!$A$1:$O$85,15,0))</f>
        <v>56.92</v>
      </c>
      <c r="X48" s="4">
        <f>IF(ISERROR(VLOOKUP($U$48,'TAR FIN'!$A$1:$O$85,15,0)),0,VLOOKUP($U$48,'TAR FIN'!$A$1:$O$85,15,0))</f>
        <v>267.91000000000003</v>
      </c>
      <c r="Y48" s="4"/>
      <c r="Z48" s="4">
        <f ca="1">('TUSD BE'!$AM$12+'TUSD BF'!$AM$12+'TUSD CVA'!$AM$12)*1</f>
        <v>100.14715657738388</v>
      </c>
      <c r="AA48" s="4">
        <f>('TE BE'!$AB$6+'TE BF'!$AB$6+'TE CVA'!$AB$6)*1</f>
        <v>185.42082399535556</v>
      </c>
      <c r="AB48" s="4">
        <f>$K$48*$V$48</f>
        <v>0</v>
      </c>
      <c r="AC48" s="4">
        <f>$M$48*$W$48</f>
        <v>1382.0745199999999</v>
      </c>
      <c r="AD48" s="4">
        <f>$O$48*$X$48</f>
        <v>6505.1227100000006</v>
      </c>
      <c r="AE48" s="4">
        <f>$K$48*$Y$48</f>
        <v>0</v>
      </c>
      <c r="AF48" s="4">
        <f ca="1">$M$48*$Z$48</f>
        <v>2431.6731088554579</v>
      </c>
      <c r="AG48" s="4">
        <f>$O$48*$AA$48</f>
        <v>4502.2030274312283</v>
      </c>
    </row>
    <row r="49" spans="1:33" ht="11.25" customHeight="1" x14ac:dyDescent="0.25">
      <c r="A49" s="3" t="s">
        <v>21</v>
      </c>
      <c r="B49" s="3" t="s">
        <v>35</v>
      </c>
      <c r="C49" s="3" t="s">
        <v>36</v>
      </c>
      <c r="D49" s="3" t="s">
        <v>39</v>
      </c>
      <c r="E49" s="3" t="s">
        <v>25</v>
      </c>
      <c r="F49" s="3" t="s">
        <v>25</v>
      </c>
      <c r="G49" s="3" t="s">
        <v>25</v>
      </c>
      <c r="H49" s="3" t="s">
        <v>38</v>
      </c>
      <c r="I49" s="6">
        <v>44743</v>
      </c>
      <c r="J49" s="4">
        <v>0</v>
      </c>
      <c r="K49" s="4">
        <v>0</v>
      </c>
      <c r="L49" s="4">
        <v>179.95099999999999</v>
      </c>
      <c r="M49" s="4">
        <v>179.95099999999999</v>
      </c>
      <c r="N49" s="4">
        <v>179.95099999999999</v>
      </c>
      <c r="O49" s="4">
        <v>179.95099999999999</v>
      </c>
      <c r="P49" s="4">
        <v>0</v>
      </c>
      <c r="Q49" s="3" t="s">
        <v>26</v>
      </c>
      <c r="R49" s="3">
        <v>0</v>
      </c>
      <c r="S49" s="4">
        <v>0</v>
      </c>
      <c r="T49" s="4">
        <v>15</v>
      </c>
      <c r="U49" s="4">
        <v>67</v>
      </c>
      <c r="V49" s="4">
        <f>IF(ISERROR(VLOOKUP($S$49,'TAR FIN'!$A$1:$O$85,15,0)),0,VLOOKUP($S$49,'TAR FIN'!$A$1:$O$85,15,0))</f>
        <v>0</v>
      </c>
      <c r="W49" s="4">
        <f>IF(ISERROR(VLOOKUP($T$49,'TAR FIN'!$A$1:$O$85,15,0)),0,VLOOKUP($T$49,'TAR FIN'!$A$1:$O$85,15,0))</f>
        <v>56.92</v>
      </c>
      <c r="X49" s="4">
        <f>IF(ISERROR(VLOOKUP($U$49,'TAR FIN'!$A$1:$O$85,15,0)),0,VLOOKUP($U$49,'TAR FIN'!$A$1:$O$85,15,0))</f>
        <v>267.91000000000003</v>
      </c>
      <c r="Y49" s="4"/>
      <c r="Z49" s="4">
        <f ca="1">('TUSD BE'!$AM$12+'TUSD BF'!$AM$12+'TUSD CVA'!$AM$12)*1</f>
        <v>100.14715657738388</v>
      </c>
      <c r="AA49" s="4">
        <f>('TE BE'!$AB$6+'TE BF'!$AB$6+'TE CVA'!$AB$6)*1</f>
        <v>185.42082399535556</v>
      </c>
      <c r="AB49" s="4">
        <f>$K$49*$V$49</f>
        <v>0</v>
      </c>
      <c r="AC49" s="4">
        <f>$M$49*$W$49</f>
        <v>10242.81092</v>
      </c>
      <c r="AD49" s="4">
        <f>$O$49*$X$49</f>
        <v>48210.672409999999</v>
      </c>
      <c r="AE49" s="4">
        <f>$K$49*$Y$49</f>
        <v>0</v>
      </c>
      <c r="AF49" s="4">
        <f ca="1">$M$49*$Z$49</f>
        <v>18021.580973256805</v>
      </c>
      <c r="AG49" s="4">
        <f>$O$49*$AA$49</f>
        <v>33366.662698788226</v>
      </c>
    </row>
    <row r="50" spans="1:33" ht="11.25" customHeight="1" x14ac:dyDescent="0.25">
      <c r="A50" s="3" t="s">
        <v>28</v>
      </c>
      <c r="B50" s="3" t="s">
        <v>35</v>
      </c>
      <c r="C50" s="3" t="s">
        <v>36</v>
      </c>
      <c r="D50" s="3" t="s">
        <v>39</v>
      </c>
      <c r="E50" s="3" t="s">
        <v>25</v>
      </c>
      <c r="F50" s="3" t="s">
        <v>25</v>
      </c>
      <c r="G50" s="3" t="s">
        <v>25</v>
      </c>
      <c r="H50" s="3" t="s">
        <v>38</v>
      </c>
      <c r="I50" s="6">
        <v>44743</v>
      </c>
      <c r="J50" s="4">
        <v>0</v>
      </c>
      <c r="K50" s="4">
        <v>0</v>
      </c>
      <c r="L50" s="4">
        <v>30.029</v>
      </c>
      <c r="M50" s="4">
        <v>30.029</v>
      </c>
      <c r="N50" s="4">
        <v>30.029</v>
      </c>
      <c r="O50" s="4">
        <v>30.029</v>
      </c>
      <c r="P50" s="4">
        <v>0</v>
      </c>
      <c r="Q50" s="3" t="s">
        <v>26</v>
      </c>
      <c r="R50" s="3">
        <v>0</v>
      </c>
      <c r="S50" s="4">
        <v>0</v>
      </c>
      <c r="T50" s="4">
        <v>15</v>
      </c>
      <c r="U50" s="4">
        <v>67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56.92</v>
      </c>
      <c r="X50" s="4">
        <f>IF(ISERROR(VLOOKUP($U$50,'TAR FIN'!$A$1:$O$85,15,0)),0,VLOOKUP($U$50,'TAR FIN'!$A$1:$O$85,15,0))</f>
        <v>267.91000000000003</v>
      </c>
      <c r="Y50" s="4"/>
      <c r="Z50" s="4">
        <f ca="1">('TUSD BE'!$AM$12+'TUSD BF'!$AM$12+'TUSD CVA'!$AM$12)*1</f>
        <v>100.14715657738388</v>
      </c>
      <c r="AA50" s="4">
        <f>('TE BE'!$AB$6+'TE BF'!$AB$6+'TE CVA'!$AB$6)*1</f>
        <v>185.42082399535556</v>
      </c>
      <c r="AB50" s="4">
        <f>$K$50*$V$50</f>
        <v>0</v>
      </c>
      <c r="AC50" s="4">
        <f>$M$50*$W$50</f>
        <v>1709.2506800000001</v>
      </c>
      <c r="AD50" s="4">
        <f>$O$50*$X$50</f>
        <v>8045.0693900000006</v>
      </c>
      <c r="AE50" s="4">
        <f>$K$50*$Y$50</f>
        <v>0</v>
      </c>
      <c r="AF50" s="4">
        <f ca="1">$M$50*$Z$50</f>
        <v>3007.3189648622606</v>
      </c>
      <c r="AG50" s="4">
        <f>$O$50*$AA$50</f>
        <v>5568.0019237565321</v>
      </c>
    </row>
    <row r="51" spans="1:33" ht="11.25" customHeight="1" x14ac:dyDescent="0.25">
      <c r="A51" s="3" t="s">
        <v>21</v>
      </c>
      <c r="B51" s="3" t="s">
        <v>35</v>
      </c>
      <c r="C51" s="3" t="s">
        <v>36</v>
      </c>
      <c r="D51" s="3" t="s">
        <v>39</v>
      </c>
      <c r="E51" s="3" t="s">
        <v>25</v>
      </c>
      <c r="F51" s="3" t="s">
        <v>25</v>
      </c>
      <c r="G51" s="3" t="s">
        <v>25</v>
      </c>
      <c r="H51" s="3" t="s">
        <v>38</v>
      </c>
      <c r="I51" s="6">
        <v>44774</v>
      </c>
      <c r="J51" s="4">
        <v>0</v>
      </c>
      <c r="K51" s="4">
        <v>0</v>
      </c>
      <c r="L51" s="4">
        <v>224.81299999999999</v>
      </c>
      <c r="M51" s="4">
        <v>224.81299999999999</v>
      </c>
      <c r="N51" s="4">
        <v>224.81299999999999</v>
      </c>
      <c r="O51" s="4">
        <v>224.81299999999999</v>
      </c>
      <c r="P51" s="4">
        <v>0</v>
      </c>
      <c r="Q51" s="3" t="s">
        <v>26</v>
      </c>
      <c r="R51" s="3">
        <v>0</v>
      </c>
      <c r="S51" s="4">
        <v>0</v>
      </c>
      <c r="T51" s="4">
        <v>15</v>
      </c>
      <c r="U51" s="4">
        <v>67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56.92</v>
      </c>
      <c r="X51" s="4">
        <f>IF(ISERROR(VLOOKUP($U$51,'TAR FIN'!$A$1:$O$85,15,0)),0,VLOOKUP($U$51,'TAR FIN'!$A$1:$O$85,15,0))</f>
        <v>267.91000000000003</v>
      </c>
      <c r="Y51" s="4"/>
      <c r="Z51" s="4">
        <f ca="1">('TUSD BE'!$AM$12+'TUSD BF'!$AM$12+'TUSD CVA'!$AM$12)*1</f>
        <v>100.14715657738388</v>
      </c>
      <c r="AA51" s="4">
        <f>('TE BE'!$AB$6+'TE BF'!$AB$6+'TE CVA'!$AB$6)*1</f>
        <v>185.42082399535556</v>
      </c>
      <c r="AB51" s="4">
        <f>$K$51*$V$51</f>
        <v>0</v>
      </c>
      <c r="AC51" s="4">
        <f>$M$51*$W$51</f>
        <v>12796.355959999999</v>
      </c>
      <c r="AD51" s="4">
        <f>$O$51*$X$51</f>
        <v>60229.650830000006</v>
      </c>
      <c r="AE51" s="4">
        <f>$K$51*$Y$51</f>
        <v>0</v>
      </c>
      <c r="AF51" s="4">
        <f ca="1">$M$51*$Z$51</f>
        <v>22514.382711631402</v>
      </c>
      <c r="AG51" s="4">
        <f>$O$51*$AA$51</f>
        <v>41685.011704867866</v>
      </c>
    </row>
    <row r="52" spans="1:33" ht="11.25" customHeight="1" x14ac:dyDescent="0.25">
      <c r="A52" s="3" t="s">
        <v>28</v>
      </c>
      <c r="B52" s="3" t="s">
        <v>35</v>
      </c>
      <c r="C52" s="3" t="s">
        <v>36</v>
      </c>
      <c r="D52" s="3" t="s">
        <v>39</v>
      </c>
      <c r="E52" s="3" t="s">
        <v>25</v>
      </c>
      <c r="F52" s="3" t="s">
        <v>25</v>
      </c>
      <c r="G52" s="3" t="s">
        <v>25</v>
      </c>
      <c r="H52" s="3" t="s">
        <v>38</v>
      </c>
      <c r="I52" s="6">
        <v>44774</v>
      </c>
      <c r="J52" s="4">
        <v>0</v>
      </c>
      <c r="K52" s="4">
        <v>0</v>
      </c>
      <c r="L52" s="4">
        <v>28.870999999999999</v>
      </c>
      <c r="M52" s="4">
        <v>28.870999999999999</v>
      </c>
      <c r="N52" s="4">
        <v>28.870999999999999</v>
      </c>
      <c r="O52" s="4">
        <v>28.870999999999999</v>
      </c>
      <c r="P52" s="4">
        <v>0</v>
      </c>
      <c r="Q52" s="3" t="s">
        <v>26</v>
      </c>
      <c r="R52" s="3">
        <v>0</v>
      </c>
      <c r="S52" s="4">
        <v>0</v>
      </c>
      <c r="T52" s="4">
        <v>15</v>
      </c>
      <c r="U52" s="4">
        <v>67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56.92</v>
      </c>
      <c r="X52" s="4">
        <f>IF(ISERROR(VLOOKUP($U$52,'TAR FIN'!$A$1:$O$85,15,0)),0,VLOOKUP($U$52,'TAR FIN'!$A$1:$O$85,15,0))</f>
        <v>267.91000000000003</v>
      </c>
      <c r="Y52" s="4"/>
      <c r="Z52" s="4">
        <f ca="1">('TUSD BE'!$AM$12+'TUSD BF'!$AM$12+'TUSD CVA'!$AM$12)*1</f>
        <v>100.14715657738388</v>
      </c>
      <c r="AA52" s="4">
        <f>('TE BE'!$AB$6+'TE BF'!$AB$6+'TE CVA'!$AB$6)*1</f>
        <v>185.42082399535556</v>
      </c>
      <c r="AB52" s="4">
        <f>$K$52*$V$52</f>
        <v>0</v>
      </c>
      <c r="AC52" s="4">
        <f>$M$52*$W$52</f>
        <v>1643.3373199999999</v>
      </c>
      <c r="AD52" s="4">
        <f>$O$52*$X$52</f>
        <v>7734.8296100000007</v>
      </c>
      <c r="AE52" s="4">
        <f>$K$52*$Y$52</f>
        <v>0</v>
      </c>
      <c r="AF52" s="4">
        <f ca="1">$M$52*$Z$52</f>
        <v>2891.3485575456498</v>
      </c>
      <c r="AG52" s="4">
        <f>$O$52*$AA$52</f>
        <v>5353.2846095699106</v>
      </c>
    </row>
    <row r="53" spans="1:33" ht="11.25" customHeight="1" x14ac:dyDescent="0.25">
      <c r="A53" s="3" t="s">
        <v>21</v>
      </c>
      <c r="B53" s="3" t="s">
        <v>35</v>
      </c>
      <c r="C53" s="3" t="s">
        <v>36</v>
      </c>
      <c r="D53" s="3" t="s">
        <v>39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44440</v>
      </c>
      <c r="J53" s="4">
        <v>1155</v>
      </c>
      <c r="K53" s="4">
        <v>1155</v>
      </c>
      <c r="L53" s="4">
        <v>0</v>
      </c>
      <c r="M53" s="4">
        <v>0</v>
      </c>
      <c r="N53" s="4">
        <v>0</v>
      </c>
      <c r="O53" s="4">
        <v>0</v>
      </c>
      <c r="P53" s="4">
        <v>11</v>
      </c>
      <c r="Q53" s="3" t="s">
        <v>26</v>
      </c>
      <c r="R53" s="3">
        <v>0</v>
      </c>
      <c r="S53" s="4">
        <v>22</v>
      </c>
      <c r="T53" s="4">
        <v>0</v>
      </c>
      <c r="U53" s="4">
        <v>0</v>
      </c>
      <c r="V53" s="4">
        <f>IF(ISERROR(VLOOKUP($S$53,'TAR FIN'!$A$1:$O$85,15,0)),0,VLOOKUP($S$53,'TAR FIN'!$A$1:$O$85,15,0))</f>
        <v>22.34</v>
      </c>
      <c r="W53" s="4">
        <f>IF(ISERROR(VLOOKUP($T$53,'TAR FIN'!$A$1:$O$85,15,0)),0,VLOOKUP($T$53,'TAR FIN'!$A$1:$O$85,15,0))</f>
        <v>0</v>
      </c>
      <c r="X53" s="4">
        <f>IF(ISERROR(VLOOKUP($U$53,'TAR FIN'!$A$1:$O$85,15,0)),0,VLOOKUP($U$53,'TAR FIN'!$A$1:$O$85,15,0))</f>
        <v>0</v>
      </c>
      <c r="Y53" s="4">
        <f ca="1">('TUSD BE'!$AM$10+'TUSD BF'!$AM$10+'TUSD CVA'!$AM$10)*1</f>
        <v>28.040256427516418</v>
      </c>
      <c r="Z53" s="4"/>
      <c r="AA53" s="4"/>
      <c r="AB53" s="4">
        <f>$K$53*$V$53</f>
        <v>25802.7</v>
      </c>
      <c r="AC53" s="4">
        <f>$M$53*$W$53</f>
        <v>0</v>
      </c>
      <c r="AD53" s="4">
        <f>$O$53*$X$53</f>
        <v>0</v>
      </c>
      <c r="AE53" s="4">
        <f ca="1">$K$53*$Y$53</f>
        <v>32386.496173781463</v>
      </c>
      <c r="AF53" s="4">
        <f>$M$53*$Z$53</f>
        <v>0</v>
      </c>
      <c r="AG53" s="4">
        <f>$O$53*$AA$53</f>
        <v>0</v>
      </c>
    </row>
    <row r="54" spans="1:33" ht="11.25" customHeight="1" x14ac:dyDescent="0.25">
      <c r="A54" s="3" t="s">
        <v>27</v>
      </c>
      <c r="B54" s="3" t="s">
        <v>35</v>
      </c>
      <c r="C54" s="3" t="s">
        <v>36</v>
      </c>
      <c r="D54" s="3" t="s">
        <v>39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44440</v>
      </c>
      <c r="J54" s="4">
        <v>-60</v>
      </c>
      <c r="K54" s="4">
        <v>-60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26</v>
      </c>
      <c r="R54" s="3">
        <v>0</v>
      </c>
      <c r="S54" s="4">
        <v>22</v>
      </c>
      <c r="T54" s="4">
        <v>0</v>
      </c>
      <c r="U54" s="4">
        <v>0</v>
      </c>
      <c r="V54" s="4">
        <f>IF(ISERROR(VLOOKUP($S$54,'TAR FIN'!$A$1:$O$85,15,0)),0,VLOOKUP($S$54,'TAR FIN'!$A$1:$O$85,15,0))</f>
        <v>22.34</v>
      </c>
      <c r="W54" s="4">
        <f>IF(ISERROR(VLOOKUP($T$54,'TAR FIN'!$A$1:$O$85,15,0)),0,VLOOKUP($T$54,'TAR FIN'!$A$1:$O$85,15,0))</f>
        <v>0</v>
      </c>
      <c r="X54" s="4">
        <f>IF(ISERROR(VLOOKUP($U$54,'TAR FIN'!$A$1:$O$85,15,0)),0,VLOOKUP($U$54,'TAR FIN'!$A$1:$O$85,15,0))</f>
        <v>0</v>
      </c>
      <c r="Y54" s="4">
        <f ca="1">('TUSD BE'!$AM$10+'TUSD BF'!$AM$10+'TUSD CVA'!$AM$10)*1</f>
        <v>28.040256427516418</v>
      </c>
      <c r="Z54" s="4"/>
      <c r="AA54" s="4"/>
      <c r="AB54" s="4">
        <f>$K$54*$V$54</f>
        <v>-1340.4</v>
      </c>
      <c r="AC54" s="4">
        <f>$M$54*$W$54</f>
        <v>0</v>
      </c>
      <c r="AD54" s="4">
        <f>$O$54*$X$54</f>
        <v>0</v>
      </c>
      <c r="AE54" s="4">
        <f ca="1">$K$54*$Y$54</f>
        <v>-1682.4153856509852</v>
      </c>
      <c r="AF54" s="4">
        <f>$M$54*$Z$54</f>
        <v>0</v>
      </c>
      <c r="AG54" s="4">
        <f>$O$54*$AA$54</f>
        <v>0</v>
      </c>
    </row>
    <row r="55" spans="1:33" ht="11.25" customHeight="1" x14ac:dyDescent="0.25">
      <c r="A55" s="3" t="s">
        <v>28</v>
      </c>
      <c r="B55" s="3" t="s">
        <v>35</v>
      </c>
      <c r="C55" s="3" t="s">
        <v>36</v>
      </c>
      <c r="D55" s="3" t="s">
        <v>39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44440</v>
      </c>
      <c r="J55" s="4">
        <v>180</v>
      </c>
      <c r="K55" s="4">
        <v>180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3" t="s">
        <v>26</v>
      </c>
      <c r="R55" s="3">
        <v>0</v>
      </c>
      <c r="S55" s="4">
        <v>22</v>
      </c>
      <c r="T55" s="4">
        <v>0</v>
      </c>
      <c r="U55" s="4">
        <v>0</v>
      </c>
      <c r="V55" s="4">
        <f>IF(ISERROR(VLOOKUP($S$55,'TAR FIN'!$A$1:$O$85,15,0)),0,VLOOKUP($S$55,'TAR FIN'!$A$1:$O$85,15,0))</f>
        <v>22.34</v>
      </c>
      <c r="W55" s="4">
        <f>IF(ISERROR(VLOOKUP($T$55,'TAR FIN'!$A$1:$O$85,15,0)),0,VLOOKUP($T$55,'TAR FIN'!$A$1:$O$85,15,0))</f>
        <v>0</v>
      </c>
      <c r="X55" s="4">
        <f>IF(ISERROR(VLOOKUP($U$55,'TAR FIN'!$A$1:$O$85,15,0)),0,VLOOKUP($U$55,'TAR FIN'!$A$1:$O$85,15,0))</f>
        <v>0</v>
      </c>
      <c r="Y55" s="4">
        <f ca="1">('TUSD BE'!$AM$10+'TUSD BF'!$AM$10+'TUSD CVA'!$AM$10)*1</f>
        <v>28.040256427516418</v>
      </c>
      <c r="Z55" s="4"/>
      <c r="AA55" s="4"/>
      <c r="AB55" s="4">
        <f>$K$55*$V$55</f>
        <v>4021.2</v>
      </c>
      <c r="AC55" s="4">
        <f>$M$55*$W$55</f>
        <v>0</v>
      </c>
      <c r="AD55" s="4">
        <f>$O$55*$X$55</f>
        <v>0</v>
      </c>
      <c r="AE55" s="4">
        <f ca="1">$K$55*$Y$55</f>
        <v>5047.2461569529551</v>
      </c>
      <c r="AF55" s="4">
        <f>$M$55*$Z$55</f>
        <v>0</v>
      </c>
      <c r="AG55" s="4">
        <f>$O$55*$AA$55</f>
        <v>0</v>
      </c>
    </row>
    <row r="56" spans="1:33" ht="11.25" customHeight="1" x14ac:dyDescent="0.25">
      <c r="A56" s="3" t="s">
        <v>21</v>
      </c>
      <c r="B56" s="3" t="s">
        <v>35</v>
      </c>
      <c r="C56" s="3" t="s">
        <v>36</v>
      </c>
      <c r="D56" s="3" t="s">
        <v>39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44470</v>
      </c>
      <c r="J56" s="4">
        <v>1178</v>
      </c>
      <c r="K56" s="4">
        <v>1178</v>
      </c>
      <c r="L56" s="4">
        <v>0</v>
      </c>
      <c r="M56" s="4">
        <v>0</v>
      </c>
      <c r="N56" s="4">
        <v>0</v>
      </c>
      <c r="O56" s="4">
        <v>0</v>
      </c>
      <c r="P56" s="4">
        <v>12</v>
      </c>
      <c r="Q56" s="3" t="s">
        <v>26</v>
      </c>
      <c r="R56" s="3">
        <v>0</v>
      </c>
      <c r="S56" s="4">
        <v>22</v>
      </c>
      <c r="T56" s="4">
        <v>0</v>
      </c>
      <c r="U56" s="4">
        <v>0</v>
      </c>
      <c r="V56" s="4">
        <f>IF(ISERROR(VLOOKUP($S$56,'TAR FIN'!$A$1:$O$85,15,0)),0,VLOOKUP($S$56,'TAR FIN'!$A$1:$O$85,15,0))</f>
        <v>22.34</v>
      </c>
      <c r="W56" s="4">
        <f>IF(ISERROR(VLOOKUP($T$56,'TAR FIN'!$A$1:$O$85,15,0)),0,VLOOKUP($T$56,'TAR FIN'!$A$1:$O$85,15,0))</f>
        <v>0</v>
      </c>
      <c r="X56" s="4">
        <f>IF(ISERROR(VLOOKUP($U$56,'TAR FIN'!$A$1:$O$85,15,0)),0,VLOOKUP($U$56,'TAR FIN'!$A$1:$O$85,15,0))</f>
        <v>0</v>
      </c>
      <c r="Y56" s="4">
        <f ca="1">('TUSD BE'!$AM$10+'TUSD BF'!$AM$10+'TUSD CVA'!$AM$10)*1</f>
        <v>28.040256427516418</v>
      </c>
      <c r="Z56" s="4"/>
      <c r="AA56" s="4"/>
      <c r="AB56" s="4">
        <f>$K$56*$V$56</f>
        <v>26316.52</v>
      </c>
      <c r="AC56" s="4">
        <f>$M$56*$W$56</f>
        <v>0</v>
      </c>
      <c r="AD56" s="4">
        <f>$O$56*$X$56</f>
        <v>0</v>
      </c>
      <c r="AE56" s="4">
        <f ca="1">$K$56*$Y$56</f>
        <v>33031.422071614339</v>
      </c>
      <c r="AF56" s="4">
        <f>$M$56*$Z$56</f>
        <v>0</v>
      </c>
      <c r="AG56" s="4">
        <f>$O$56*$AA$56</f>
        <v>0</v>
      </c>
    </row>
    <row r="57" spans="1:33" ht="11.25" customHeight="1" x14ac:dyDescent="0.25">
      <c r="A57" s="3" t="s">
        <v>28</v>
      </c>
      <c r="B57" s="3" t="s">
        <v>35</v>
      </c>
      <c r="C57" s="3" t="s">
        <v>36</v>
      </c>
      <c r="D57" s="3" t="s">
        <v>39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44470</v>
      </c>
      <c r="J57" s="4">
        <v>180</v>
      </c>
      <c r="K57" s="4">
        <v>180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3" t="s">
        <v>26</v>
      </c>
      <c r="R57" s="3">
        <v>0</v>
      </c>
      <c r="S57" s="4">
        <v>22</v>
      </c>
      <c r="T57" s="4">
        <v>0</v>
      </c>
      <c r="U57" s="4">
        <v>0</v>
      </c>
      <c r="V57" s="4">
        <f>IF(ISERROR(VLOOKUP($S$57,'TAR FIN'!$A$1:$O$85,15,0)),0,VLOOKUP($S$57,'TAR FIN'!$A$1:$O$85,15,0))</f>
        <v>22.34</v>
      </c>
      <c r="W57" s="4">
        <f>IF(ISERROR(VLOOKUP($T$57,'TAR FIN'!$A$1:$O$85,15,0)),0,VLOOKUP($T$57,'TAR FIN'!$A$1:$O$85,15,0))</f>
        <v>0</v>
      </c>
      <c r="X57" s="4">
        <f>IF(ISERROR(VLOOKUP($U$57,'TAR FIN'!$A$1:$O$85,15,0)),0,VLOOKUP($U$57,'TAR FIN'!$A$1:$O$85,15,0))</f>
        <v>0</v>
      </c>
      <c r="Y57" s="4">
        <f ca="1">('TUSD BE'!$AM$10+'TUSD BF'!$AM$10+'TUSD CVA'!$AM$10)*1</f>
        <v>28.040256427516418</v>
      </c>
      <c r="Z57" s="4"/>
      <c r="AA57" s="4"/>
      <c r="AB57" s="4">
        <f>$K$57*$V$57</f>
        <v>4021.2</v>
      </c>
      <c r="AC57" s="4">
        <f>$M$57*$W$57</f>
        <v>0</v>
      </c>
      <c r="AD57" s="4">
        <f>$O$57*$X$57</f>
        <v>0</v>
      </c>
      <c r="AE57" s="4">
        <f ca="1">$K$57*$Y$57</f>
        <v>5047.2461569529551</v>
      </c>
      <c r="AF57" s="4">
        <f>$M$57*$Z$57</f>
        <v>0</v>
      </c>
      <c r="AG57" s="4">
        <f>$O$57*$AA$57</f>
        <v>0</v>
      </c>
    </row>
    <row r="58" spans="1:33" ht="11.25" customHeight="1" x14ac:dyDescent="0.25">
      <c r="A58" s="3" t="s">
        <v>21</v>
      </c>
      <c r="B58" s="3" t="s">
        <v>35</v>
      </c>
      <c r="C58" s="3" t="s">
        <v>36</v>
      </c>
      <c r="D58" s="3" t="s">
        <v>39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44501</v>
      </c>
      <c r="J58" s="4">
        <v>1282</v>
      </c>
      <c r="K58" s="4">
        <v>1282</v>
      </c>
      <c r="L58" s="4">
        <v>0</v>
      </c>
      <c r="M58" s="4">
        <v>0</v>
      </c>
      <c r="N58" s="4">
        <v>0</v>
      </c>
      <c r="O58" s="4">
        <v>0</v>
      </c>
      <c r="P58" s="4">
        <v>12</v>
      </c>
      <c r="Q58" s="3" t="s">
        <v>26</v>
      </c>
      <c r="R58" s="3">
        <v>0</v>
      </c>
      <c r="S58" s="4">
        <v>22</v>
      </c>
      <c r="T58" s="4">
        <v>0</v>
      </c>
      <c r="U58" s="4">
        <v>0</v>
      </c>
      <c r="V58" s="4">
        <f>IF(ISERROR(VLOOKUP($S$58,'TAR FIN'!$A$1:$O$85,15,0)),0,VLOOKUP($S$58,'TAR FIN'!$A$1:$O$85,15,0))</f>
        <v>22.34</v>
      </c>
      <c r="W58" s="4">
        <f>IF(ISERROR(VLOOKUP($T$58,'TAR FIN'!$A$1:$O$85,15,0)),0,VLOOKUP($T$58,'TAR FIN'!$A$1:$O$85,15,0))</f>
        <v>0</v>
      </c>
      <c r="X58" s="4">
        <f>IF(ISERROR(VLOOKUP($U$58,'TAR FIN'!$A$1:$O$85,15,0)),0,VLOOKUP($U$58,'TAR FIN'!$A$1:$O$85,15,0))</f>
        <v>0</v>
      </c>
      <c r="Y58" s="4">
        <f ca="1">('TUSD BE'!$AM$10+'TUSD BF'!$AM$10+'TUSD CVA'!$AM$10)*1</f>
        <v>28.040256427516418</v>
      </c>
      <c r="Z58" s="4"/>
      <c r="AA58" s="4"/>
      <c r="AB58" s="4">
        <f>$K$58*$V$58</f>
        <v>28639.88</v>
      </c>
      <c r="AC58" s="4">
        <f>$M$58*$W$58</f>
        <v>0</v>
      </c>
      <c r="AD58" s="4">
        <f>$O$58*$X$58</f>
        <v>0</v>
      </c>
      <c r="AE58" s="4">
        <f ca="1">$K$58*$Y$58</f>
        <v>35947.608740076052</v>
      </c>
      <c r="AF58" s="4">
        <f>$M$58*$Z$58</f>
        <v>0</v>
      </c>
      <c r="AG58" s="4">
        <f>$O$58*$AA$58</f>
        <v>0</v>
      </c>
    </row>
    <row r="59" spans="1:33" ht="11.25" customHeight="1" x14ac:dyDescent="0.25">
      <c r="A59" s="3" t="s">
        <v>28</v>
      </c>
      <c r="B59" s="3" t="s">
        <v>35</v>
      </c>
      <c r="C59" s="3" t="s">
        <v>36</v>
      </c>
      <c r="D59" s="3" t="s">
        <v>39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44501</v>
      </c>
      <c r="J59" s="4">
        <v>180</v>
      </c>
      <c r="K59" s="4">
        <v>180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3" t="s">
        <v>26</v>
      </c>
      <c r="R59" s="3">
        <v>0</v>
      </c>
      <c r="S59" s="4">
        <v>22</v>
      </c>
      <c r="T59" s="4">
        <v>0</v>
      </c>
      <c r="U59" s="4">
        <v>0</v>
      </c>
      <c r="V59" s="4">
        <f>IF(ISERROR(VLOOKUP($S$59,'TAR FIN'!$A$1:$O$85,15,0)),0,VLOOKUP($S$59,'TAR FIN'!$A$1:$O$85,15,0))</f>
        <v>22.34</v>
      </c>
      <c r="W59" s="4">
        <f>IF(ISERROR(VLOOKUP($T$59,'TAR FIN'!$A$1:$O$85,15,0)),0,VLOOKUP($T$59,'TAR FIN'!$A$1:$O$85,15,0))</f>
        <v>0</v>
      </c>
      <c r="X59" s="4">
        <f>IF(ISERROR(VLOOKUP($U$59,'TAR FIN'!$A$1:$O$85,15,0)),0,VLOOKUP($U$59,'TAR FIN'!$A$1:$O$85,15,0))</f>
        <v>0</v>
      </c>
      <c r="Y59" s="4">
        <f ca="1">('TUSD BE'!$AM$10+'TUSD BF'!$AM$10+'TUSD CVA'!$AM$10)*1</f>
        <v>28.040256427516418</v>
      </c>
      <c r="Z59" s="4"/>
      <c r="AA59" s="4"/>
      <c r="AB59" s="4">
        <f>$K$59*$V$59</f>
        <v>4021.2</v>
      </c>
      <c r="AC59" s="4">
        <f>$M$59*$W$59</f>
        <v>0</v>
      </c>
      <c r="AD59" s="4">
        <f>$O$59*$X$59</f>
        <v>0</v>
      </c>
      <c r="AE59" s="4">
        <f ca="1">$K$59*$Y$59</f>
        <v>5047.2461569529551</v>
      </c>
      <c r="AF59" s="4">
        <f>$M$59*$Z$59</f>
        <v>0</v>
      </c>
      <c r="AG59" s="4">
        <f>$O$59*$AA$59</f>
        <v>0</v>
      </c>
    </row>
    <row r="60" spans="1:33" ht="11.25" customHeight="1" x14ac:dyDescent="0.25">
      <c r="A60" s="3" t="s">
        <v>21</v>
      </c>
      <c r="B60" s="3" t="s">
        <v>35</v>
      </c>
      <c r="C60" s="3" t="s">
        <v>36</v>
      </c>
      <c r="D60" s="3" t="s">
        <v>39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44531</v>
      </c>
      <c r="J60" s="4">
        <v>1284</v>
      </c>
      <c r="K60" s="4">
        <v>1284</v>
      </c>
      <c r="L60" s="4">
        <v>0</v>
      </c>
      <c r="M60" s="4">
        <v>0</v>
      </c>
      <c r="N60" s="4">
        <v>0</v>
      </c>
      <c r="O60" s="4">
        <v>0</v>
      </c>
      <c r="P60" s="4">
        <v>12</v>
      </c>
      <c r="Q60" s="3" t="s">
        <v>26</v>
      </c>
      <c r="R60" s="3">
        <v>0</v>
      </c>
      <c r="S60" s="4">
        <v>22</v>
      </c>
      <c r="T60" s="4">
        <v>0</v>
      </c>
      <c r="U60" s="4">
        <v>0</v>
      </c>
      <c r="V60" s="4">
        <f>IF(ISERROR(VLOOKUP($S$60,'TAR FIN'!$A$1:$O$85,15,0)),0,VLOOKUP($S$60,'TAR FIN'!$A$1:$O$85,15,0))</f>
        <v>22.34</v>
      </c>
      <c r="W60" s="4">
        <f>IF(ISERROR(VLOOKUP($T$60,'TAR FIN'!$A$1:$O$85,15,0)),0,VLOOKUP($T$60,'TAR FIN'!$A$1:$O$85,15,0))</f>
        <v>0</v>
      </c>
      <c r="X60" s="4">
        <f>IF(ISERROR(VLOOKUP($U$60,'TAR FIN'!$A$1:$O$85,15,0)),0,VLOOKUP($U$60,'TAR FIN'!$A$1:$O$85,15,0))</f>
        <v>0</v>
      </c>
      <c r="Y60" s="4">
        <f ca="1">('TUSD BE'!$AM$10+'TUSD BF'!$AM$10+'TUSD CVA'!$AM$10)*1</f>
        <v>28.040256427516418</v>
      </c>
      <c r="Z60" s="4"/>
      <c r="AA60" s="4"/>
      <c r="AB60" s="4">
        <f>$K$60*$V$60</f>
        <v>28684.560000000001</v>
      </c>
      <c r="AC60" s="4">
        <f>$M$60*$W$60</f>
        <v>0</v>
      </c>
      <c r="AD60" s="4">
        <f>$O$60*$X$60</f>
        <v>0</v>
      </c>
      <c r="AE60" s="4">
        <f ca="1">$K$60*$Y$60</f>
        <v>36003.689252931079</v>
      </c>
      <c r="AF60" s="4">
        <f>$M$60*$Z$60</f>
        <v>0</v>
      </c>
      <c r="AG60" s="4">
        <f>$O$60*$AA$60</f>
        <v>0</v>
      </c>
    </row>
    <row r="61" spans="1:33" ht="11.25" customHeight="1" x14ac:dyDescent="0.25">
      <c r="A61" s="3" t="s">
        <v>28</v>
      </c>
      <c r="B61" s="3" t="s">
        <v>35</v>
      </c>
      <c r="C61" s="3" t="s">
        <v>36</v>
      </c>
      <c r="D61" s="3" t="s">
        <v>39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44531</v>
      </c>
      <c r="J61" s="4">
        <v>198</v>
      </c>
      <c r="K61" s="4">
        <v>198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3" t="s">
        <v>26</v>
      </c>
      <c r="R61" s="3">
        <v>0</v>
      </c>
      <c r="S61" s="4">
        <v>22</v>
      </c>
      <c r="T61" s="4">
        <v>0</v>
      </c>
      <c r="U61" s="4">
        <v>0</v>
      </c>
      <c r="V61" s="4">
        <f>IF(ISERROR(VLOOKUP($S$61,'TAR FIN'!$A$1:$O$85,15,0)),0,VLOOKUP($S$61,'TAR FIN'!$A$1:$O$85,15,0))</f>
        <v>22.34</v>
      </c>
      <c r="W61" s="4">
        <f>IF(ISERROR(VLOOKUP($T$61,'TAR FIN'!$A$1:$O$85,15,0)),0,VLOOKUP($T$61,'TAR FIN'!$A$1:$O$85,15,0))</f>
        <v>0</v>
      </c>
      <c r="X61" s="4">
        <f>IF(ISERROR(VLOOKUP($U$61,'TAR FIN'!$A$1:$O$85,15,0)),0,VLOOKUP($U$61,'TAR FIN'!$A$1:$O$85,15,0))</f>
        <v>0</v>
      </c>
      <c r="Y61" s="4">
        <f ca="1">('TUSD BE'!$AM$10+'TUSD BF'!$AM$10+'TUSD CVA'!$AM$10)*1</f>
        <v>28.040256427516418</v>
      </c>
      <c r="Z61" s="4"/>
      <c r="AA61" s="4"/>
      <c r="AB61" s="4">
        <f>$K$61*$V$61</f>
        <v>4423.32</v>
      </c>
      <c r="AC61" s="4">
        <f>$M$61*$W$61</f>
        <v>0</v>
      </c>
      <c r="AD61" s="4">
        <f>$O$61*$X$61</f>
        <v>0</v>
      </c>
      <c r="AE61" s="4">
        <f ca="1">$K$61*$Y$61</f>
        <v>5551.9707726482511</v>
      </c>
      <c r="AF61" s="4">
        <f>$M$61*$Z$61</f>
        <v>0</v>
      </c>
      <c r="AG61" s="4">
        <f>$O$61*$AA$61</f>
        <v>0</v>
      </c>
    </row>
    <row r="62" spans="1:33" ht="11.25" customHeight="1" x14ac:dyDescent="0.25">
      <c r="A62" s="3" t="s">
        <v>21</v>
      </c>
      <c r="B62" s="3" t="s">
        <v>35</v>
      </c>
      <c r="C62" s="3" t="s">
        <v>36</v>
      </c>
      <c r="D62" s="3" t="s">
        <v>39</v>
      </c>
      <c r="E62" s="3" t="s">
        <v>25</v>
      </c>
      <c r="F62" s="3" t="s">
        <v>25</v>
      </c>
      <c r="G62" s="3" t="s">
        <v>25</v>
      </c>
      <c r="H62" s="3" t="s">
        <v>25</v>
      </c>
      <c r="I62" s="6">
        <v>44562</v>
      </c>
      <c r="J62" s="4">
        <v>1365</v>
      </c>
      <c r="K62" s="4">
        <v>1365</v>
      </c>
      <c r="L62" s="4">
        <v>0</v>
      </c>
      <c r="M62" s="4">
        <v>0</v>
      </c>
      <c r="N62" s="4">
        <v>0</v>
      </c>
      <c r="O62" s="4">
        <v>0</v>
      </c>
      <c r="P62" s="4">
        <v>12</v>
      </c>
      <c r="Q62" s="3" t="s">
        <v>26</v>
      </c>
      <c r="R62" s="3">
        <v>0</v>
      </c>
      <c r="S62" s="4">
        <v>22</v>
      </c>
      <c r="T62" s="4">
        <v>0</v>
      </c>
      <c r="U62" s="4">
        <v>0</v>
      </c>
      <c r="V62" s="4">
        <f>IF(ISERROR(VLOOKUP($S$62,'TAR FIN'!$A$1:$O$85,15,0)),0,VLOOKUP($S$62,'TAR FIN'!$A$1:$O$85,15,0))</f>
        <v>22.34</v>
      </c>
      <c r="W62" s="4">
        <f>IF(ISERROR(VLOOKUP($T$62,'TAR FIN'!$A$1:$O$85,15,0)),0,VLOOKUP($T$62,'TAR FIN'!$A$1:$O$85,15,0))</f>
        <v>0</v>
      </c>
      <c r="X62" s="4">
        <f>IF(ISERROR(VLOOKUP($U$62,'TAR FIN'!$A$1:$O$85,15,0)),0,VLOOKUP($U$62,'TAR FIN'!$A$1:$O$85,15,0))</f>
        <v>0</v>
      </c>
      <c r="Y62" s="4">
        <f ca="1">('TUSD BE'!$AM$10+'TUSD BF'!$AM$10+'TUSD CVA'!$AM$10)*1</f>
        <v>28.040256427516418</v>
      </c>
      <c r="Z62" s="4"/>
      <c r="AA62" s="4"/>
      <c r="AB62" s="4">
        <f>$K$62*$V$62</f>
        <v>30494.1</v>
      </c>
      <c r="AC62" s="4">
        <f>$M$62*$W$62</f>
        <v>0</v>
      </c>
      <c r="AD62" s="4">
        <f>$O$62*$X$62</f>
        <v>0</v>
      </c>
      <c r="AE62" s="4">
        <f ca="1">$K$62*$Y$62</f>
        <v>38274.950023559912</v>
      </c>
      <c r="AF62" s="4">
        <f>$M$62*$Z$62</f>
        <v>0</v>
      </c>
      <c r="AG62" s="4">
        <f>$O$62*$AA$62</f>
        <v>0</v>
      </c>
    </row>
    <row r="63" spans="1:33" ht="11.25" customHeight="1" x14ac:dyDescent="0.25">
      <c r="A63" s="3" t="s">
        <v>28</v>
      </c>
      <c r="B63" s="3" t="s">
        <v>35</v>
      </c>
      <c r="C63" s="3" t="s">
        <v>36</v>
      </c>
      <c r="D63" s="3" t="s">
        <v>39</v>
      </c>
      <c r="E63" s="3" t="s">
        <v>25</v>
      </c>
      <c r="F63" s="3" t="s">
        <v>25</v>
      </c>
      <c r="G63" s="3" t="s">
        <v>25</v>
      </c>
      <c r="H63" s="3" t="s">
        <v>25</v>
      </c>
      <c r="I63" s="6">
        <v>44562</v>
      </c>
      <c r="J63" s="4">
        <v>180</v>
      </c>
      <c r="K63" s="4">
        <v>180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3" t="s">
        <v>26</v>
      </c>
      <c r="R63" s="3">
        <v>0</v>
      </c>
      <c r="S63" s="4">
        <v>22</v>
      </c>
      <c r="T63" s="4">
        <v>0</v>
      </c>
      <c r="U63" s="4">
        <v>0</v>
      </c>
      <c r="V63" s="4">
        <f>IF(ISERROR(VLOOKUP($S$63,'TAR FIN'!$A$1:$O$85,15,0)),0,VLOOKUP($S$63,'TAR FIN'!$A$1:$O$85,15,0))</f>
        <v>22.34</v>
      </c>
      <c r="W63" s="4">
        <f>IF(ISERROR(VLOOKUP($T$63,'TAR FIN'!$A$1:$O$85,15,0)),0,VLOOKUP($T$63,'TAR FIN'!$A$1:$O$85,15,0))</f>
        <v>0</v>
      </c>
      <c r="X63" s="4">
        <f>IF(ISERROR(VLOOKUP($U$63,'TAR FIN'!$A$1:$O$85,15,0)),0,VLOOKUP($U$63,'TAR FIN'!$A$1:$O$85,15,0))</f>
        <v>0</v>
      </c>
      <c r="Y63" s="4">
        <f ca="1">('TUSD BE'!$AM$10+'TUSD BF'!$AM$10+'TUSD CVA'!$AM$10)*1</f>
        <v>28.040256427516418</v>
      </c>
      <c r="Z63" s="4"/>
      <c r="AA63" s="4"/>
      <c r="AB63" s="4">
        <f>$K$63*$V$63</f>
        <v>4021.2</v>
      </c>
      <c r="AC63" s="4">
        <f>$M$63*$W$63</f>
        <v>0</v>
      </c>
      <c r="AD63" s="4">
        <f>$O$63*$X$63</f>
        <v>0</v>
      </c>
      <c r="AE63" s="4">
        <f ca="1">$K$63*$Y$63</f>
        <v>5047.2461569529551</v>
      </c>
      <c r="AF63" s="4">
        <f>$M$63*$Z$63</f>
        <v>0</v>
      </c>
      <c r="AG63" s="4">
        <f>$O$63*$AA$63</f>
        <v>0</v>
      </c>
    </row>
    <row r="64" spans="1:33" ht="11.25" customHeight="1" x14ac:dyDescent="0.25">
      <c r="A64" s="3" t="s">
        <v>21</v>
      </c>
      <c r="B64" s="3" t="s">
        <v>35</v>
      </c>
      <c r="C64" s="3" t="s">
        <v>36</v>
      </c>
      <c r="D64" s="3" t="s">
        <v>39</v>
      </c>
      <c r="E64" s="3" t="s">
        <v>25</v>
      </c>
      <c r="F64" s="3" t="s">
        <v>25</v>
      </c>
      <c r="G64" s="3" t="s">
        <v>25</v>
      </c>
      <c r="H64" s="3" t="s">
        <v>25</v>
      </c>
      <c r="I64" s="6">
        <v>44593</v>
      </c>
      <c r="J64" s="4">
        <v>1387</v>
      </c>
      <c r="K64" s="4">
        <v>1387</v>
      </c>
      <c r="L64" s="4">
        <v>0</v>
      </c>
      <c r="M64" s="4">
        <v>0</v>
      </c>
      <c r="N64" s="4">
        <v>0</v>
      </c>
      <c r="O64" s="4">
        <v>0</v>
      </c>
      <c r="P64" s="4">
        <v>12</v>
      </c>
      <c r="Q64" s="3" t="s">
        <v>26</v>
      </c>
      <c r="R64" s="3">
        <v>0</v>
      </c>
      <c r="S64" s="4">
        <v>22</v>
      </c>
      <c r="T64" s="4">
        <v>0</v>
      </c>
      <c r="U64" s="4">
        <v>0</v>
      </c>
      <c r="V64" s="4">
        <f>IF(ISERROR(VLOOKUP($S$64,'TAR FIN'!$A$1:$O$85,15,0)),0,VLOOKUP($S$64,'TAR FIN'!$A$1:$O$85,15,0))</f>
        <v>22.34</v>
      </c>
      <c r="W64" s="4">
        <f>IF(ISERROR(VLOOKUP($T$64,'TAR FIN'!$A$1:$O$85,15,0)),0,VLOOKUP($T$64,'TAR FIN'!$A$1:$O$85,15,0))</f>
        <v>0</v>
      </c>
      <c r="X64" s="4">
        <f>IF(ISERROR(VLOOKUP($U$64,'TAR FIN'!$A$1:$O$85,15,0)),0,VLOOKUP($U$64,'TAR FIN'!$A$1:$O$85,15,0))</f>
        <v>0</v>
      </c>
      <c r="Y64" s="4">
        <f ca="1">('TUSD BE'!$AM$10+'TUSD BF'!$AM$10+'TUSD CVA'!$AM$10)*1</f>
        <v>28.040256427516418</v>
      </c>
      <c r="Z64" s="4"/>
      <c r="AA64" s="4"/>
      <c r="AB64" s="4">
        <f>$K$64*$V$64</f>
        <v>30985.579999999998</v>
      </c>
      <c r="AC64" s="4">
        <f>$M$64*$W$64</f>
        <v>0</v>
      </c>
      <c r="AD64" s="4">
        <f>$O$64*$X$64</f>
        <v>0</v>
      </c>
      <c r="AE64" s="4">
        <f ca="1">$K$64*$Y$64</f>
        <v>38891.835664965271</v>
      </c>
      <c r="AF64" s="4">
        <f>$M$64*$Z$64</f>
        <v>0</v>
      </c>
      <c r="AG64" s="4">
        <f>$O$64*$AA$64</f>
        <v>0</v>
      </c>
    </row>
    <row r="65" spans="1:33" ht="11.25" customHeight="1" x14ac:dyDescent="0.25">
      <c r="A65" s="3" t="s">
        <v>28</v>
      </c>
      <c r="B65" s="3" t="s">
        <v>35</v>
      </c>
      <c r="C65" s="3" t="s">
        <v>36</v>
      </c>
      <c r="D65" s="3" t="s">
        <v>39</v>
      </c>
      <c r="E65" s="3" t="s">
        <v>25</v>
      </c>
      <c r="F65" s="3" t="s">
        <v>25</v>
      </c>
      <c r="G65" s="3" t="s">
        <v>25</v>
      </c>
      <c r="H65" s="3" t="s">
        <v>25</v>
      </c>
      <c r="I65" s="6">
        <v>44593</v>
      </c>
      <c r="J65" s="4">
        <v>180</v>
      </c>
      <c r="K65" s="4">
        <v>180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3" t="s">
        <v>26</v>
      </c>
      <c r="R65" s="3">
        <v>0</v>
      </c>
      <c r="S65" s="4">
        <v>22</v>
      </c>
      <c r="T65" s="4">
        <v>0</v>
      </c>
      <c r="U65" s="4">
        <v>0</v>
      </c>
      <c r="V65" s="4">
        <f>IF(ISERROR(VLOOKUP($S$65,'TAR FIN'!$A$1:$O$85,15,0)),0,VLOOKUP($S$65,'TAR FIN'!$A$1:$O$85,15,0))</f>
        <v>22.34</v>
      </c>
      <c r="W65" s="4">
        <f>IF(ISERROR(VLOOKUP($T$65,'TAR FIN'!$A$1:$O$85,15,0)),0,VLOOKUP($T$65,'TAR FIN'!$A$1:$O$85,15,0))</f>
        <v>0</v>
      </c>
      <c r="X65" s="4">
        <f>IF(ISERROR(VLOOKUP($U$65,'TAR FIN'!$A$1:$O$85,15,0)),0,VLOOKUP($U$65,'TAR FIN'!$A$1:$O$85,15,0))</f>
        <v>0</v>
      </c>
      <c r="Y65" s="4">
        <f ca="1">('TUSD BE'!$AM$10+'TUSD BF'!$AM$10+'TUSD CVA'!$AM$10)*1</f>
        <v>28.040256427516418</v>
      </c>
      <c r="Z65" s="4"/>
      <c r="AA65" s="4"/>
      <c r="AB65" s="4">
        <f>$K$65*$V$65</f>
        <v>4021.2</v>
      </c>
      <c r="AC65" s="4">
        <f>$M$65*$W$65</f>
        <v>0</v>
      </c>
      <c r="AD65" s="4">
        <f>$O$65*$X$65</f>
        <v>0</v>
      </c>
      <c r="AE65" s="4">
        <f ca="1">$K$65*$Y$65</f>
        <v>5047.2461569529551</v>
      </c>
      <c r="AF65" s="4">
        <f>$M$65*$Z$65</f>
        <v>0</v>
      </c>
      <c r="AG65" s="4">
        <f>$O$65*$AA$65</f>
        <v>0</v>
      </c>
    </row>
    <row r="66" spans="1:33" ht="11.25" customHeight="1" x14ac:dyDescent="0.25">
      <c r="A66" s="3" t="s">
        <v>21</v>
      </c>
      <c r="B66" s="3" t="s">
        <v>35</v>
      </c>
      <c r="C66" s="3" t="s">
        <v>36</v>
      </c>
      <c r="D66" s="3" t="s">
        <v>39</v>
      </c>
      <c r="E66" s="3" t="s">
        <v>25</v>
      </c>
      <c r="F66" s="3" t="s">
        <v>25</v>
      </c>
      <c r="G66" s="3" t="s">
        <v>25</v>
      </c>
      <c r="H66" s="3" t="s">
        <v>25</v>
      </c>
      <c r="I66" s="6">
        <v>44621</v>
      </c>
      <c r="J66" s="4">
        <v>1462</v>
      </c>
      <c r="K66" s="4">
        <v>1462</v>
      </c>
      <c r="L66" s="4">
        <v>0</v>
      </c>
      <c r="M66" s="4">
        <v>0</v>
      </c>
      <c r="N66" s="4">
        <v>0</v>
      </c>
      <c r="O66" s="4">
        <v>0</v>
      </c>
      <c r="P66" s="4">
        <v>12</v>
      </c>
      <c r="Q66" s="3" t="s">
        <v>26</v>
      </c>
      <c r="R66" s="3">
        <v>0</v>
      </c>
      <c r="S66" s="4">
        <v>22</v>
      </c>
      <c r="T66" s="4">
        <v>0</v>
      </c>
      <c r="U66" s="4">
        <v>0</v>
      </c>
      <c r="V66" s="4">
        <f>IF(ISERROR(VLOOKUP($S$66,'TAR FIN'!$A$1:$O$85,15,0)),0,VLOOKUP($S$66,'TAR FIN'!$A$1:$O$85,15,0))</f>
        <v>22.34</v>
      </c>
      <c r="W66" s="4">
        <f>IF(ISERROR(VLOOKUP($T$66,'TAR FIN'!$A$1:$O$85,15,0)),0,VLOOKUP($T$66,'TAR FIN'!$A$1:$O$85,15,0))</f>
        <v>0</v>
      </c>
      <c r="X66" s="4">
        <f>IF(ISERROR(VLOOKUP($U$66,'TAR FIN'!$A$1:$O$85,15,0)),0,VLOOKUP($U$66,'TAR FIN'!$A$1:$O$85,15,0))</f>
        <v>0</v>
      </c>
      <c r="Y66" s="4">
        <f ca="1">('TUSD BE'!$AM$10+'TUSD BF'!$AM$10+'TUSD CVA'!$AM$10)*1</f>
        <v>28.040256427516418</v>
      </c>
      <c r="Z66" s="4"/>
      <c r="AA66" s="4"/>
      <c r="AB66" s="4">
        <f>$K$66*$V$66</f>
        <v>32661.079999999998</v>
      </c>
      <c r="AC66" s="4">
        <f>$M$66*$W$66</f>
        <v>0</v>
      </c>
      <c r="AD66" s="4">
        <f>$O$66*$X$66</f>
        <v>0</v>
      </c>
      <c r="AE66" s="4">
        <f ca="1">$K$66*$Y$66</f>
        <v>40994.854897029007</v>
      </c>
      <c r="AF66" s="4">
        <f>$M$66*$Z$66</f>
        <v>0</v>
      </c>
      <c r="AG66" s="4">
        <f>$O$66*$AA$66</f>
        <v>0</v>
      </c>
    </row>
    <row r="67" spans="1:33" ht="11.25" customHeight="1" x14ac:dyDescent="0.25">
      <c r="A67" s="3" t="s">
        <v>28</v>
      </c>
      <c r="B67" s="3" t="s">
        <v>35</v>
      </c>
      <c r="C67" s="3" t="s">
        <v>36</v>
      </c>
      <c r="D67" s="3" t="s">
        <v>39</v>
      </c>
      <c r="E67" s="3" t="s">
        <v>25</v>
      </c>
      <c r="F67" s="3" t="s">
        <v>25</v>
      </c>
      <c r="G67" s="3" t="s">
        <v>25</v>
      </c>
      <c r="H67" s="3" t="s">
        <v>25</v>
      </c>
      <c r="I67" s="6">
        <v>44621</v>
      </c>
      <c r="J67" s="4">
        <v>180</v>
      </c>
      <c r="K67" s="4">
        <v>180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3" t="s">
        <v>26</v>
      </c>
      <c r="R67" s="3">
        <v>0</v>
      </c>
      <c r="S67" s="4">
        <v>22</v>
      </c>
      <c r="T67" s="4">
        <v>0</v>
      </c>
      <c r="U67" s="4">
        <v>0</v>
      </c>
      <c r="V67" s="4">
        <f>IF(ISERROR(VLOOKUP($S$67,'TAR FIN'!$A$1:$O$85,15,0)),0,VLOOKUP($S$67,'TAR FIN'!$A$1:$O$85,15,0))</f>
        <v>22.34</v>
      </c>
      <c r="W67" s="4">
        <f>IF(ISERROR(VLOOKUP($T$67,'TAR FIN'!$A$1:$O$85,15,0)),0,VLOOKUP($T$67,'TAR FIN'!$A$1:$O$85,15,0))</f>
        <v>0</v>
      </c>
      <c r="X67" s="4">
        <f>IF(ISERROR(VLOOKUP($U$67,'TAR FIN'!$A$1:$O$85,15,0)),0,VLOOKUP($U$67,'TAR FIN'!$A$1:$O$85,15,0))</f>
        <v>0</v>
      </c>
      <c r="Y67" s="4">
        <f ca="1">('TUSD BE'!$AM$10+'TUSD BF'!$AM$10+'TUSD CVA'!$AM$10)*1</f>
        <v>28.040256427516418</v>
      </c>
      <c r="Z67" s="4"/>
      <c r="AA67" s="4"/>
      <c r="AB67" s="4">
        <f>$K$67*$V$67</f>
        <v>4021.2</v>
      </c>
      <c r="AC67" s="4">
        <f>$M$67*$W$67</f>
        <v>0</v>
      </c>
      <c r="AD67" s="4">
        <f>$O$67*$X$67</f>
        <v>0</v>
      </c>
      <c r="AE67" s="4">
        <f ca="1">$K$67*$Y$67</f>
        <v>5047.2461569529551</v>
      </c>
      <c r="AF67" s="4">
        <f>$M$67*$Z$67</f>
        <v>0</v>
      </c>
      <c r="AG67" s="4">
        <f>$O$67*$AA$67</f>
        <v>0</v>
      </c>
    </row>
    <row r="68" spans="1:33" ht="11.25" customHeight="1" x14ac:dyDescent="0.25">
      <c r="A68" s="3" t="s">
        <v>21</v>
      </c>
      <c r="B68" s="3" t="s">
        <v>35</v>
      </c>
      <c r="C68" s="3" t="s">
        <v>36</v>
      </c>
      <c r="D68" s="3" t="s">
        <v>39</v>
      </c>
      <c r="E68" s="3" t="s">
        <v>25</v>
      </c>
      <c r="F68" s="3" t="s">
        <v>25</v>
      </c>
      <c r="G68" s="3" t="s">
        <v>25</v>
      </c>
      <c r="H68" s="3" t="s">
        <v>25</v>
      </c>
      <c r="I68" s="6">
        <v>44652</v>
      </c>
      <c r="J68" s="4">
        <v>1413</v>
      </c>
      <c r="K68" s="4">
        <v>1413</v>
      </c>
      <c r="L68" s="4">
        <v>0</v>
      </c>
      <c r="M68" s="4">
        <v>0</v>
      </c>
      <c r="N68" s="4">
        <v>0</v>
      </c>
      <c r="O68" s="4">
        <v>0</v>
      </c>
      <c r="P68" s="4">
        <v>12</v>
      </c>
      <c r="Q68" s="3" t="s">
        <v>26</v>
      </c>
      <c r="R68" s="3">
        <v>0</v>
      </c>
      <c r="S68" s="4">
        <v>22</v>
      </c>
      <c r="T68" s="4">
        <v>0</v>
      </c>
      <c r="U68" s="4">
        <v>0</v>
      </c>
      <c r="V68" s="4">
        <f>IF(ISERROR(VLOOKUP($S$68,'TAR FIN'!$A$1:$O$85,15,0)),0,VLOOKUP($S$68,'TAR FIN'!$A$1:$O$85,15,0))</f>
        <v>22.34</v>
      </c>
      <c r="W68" s="4">
        <f>IF(ISERROR(VLOOKUP($T$68,'TAR FIN'!$A$1:$O$85,15,0)),0,VLOOKUP($T$68,'TAR FIN'!$A$1:$O$85,15,0))</f>
        <v>0</v>
      </c>
      <c r="X68" s="4">
        <f>IF(ISERROR(VLOOKUP($U$68,'TAR FIN'!$A$1:$O$85,15,0)),0,VLOOKUP($U$68,'TAR FIN'!$A$1:$O$85,15,0))</f>
        <v>0</v>
      </c>
      <c r="Y68" s="4">
        <f ca="1">('TUSD BE'!$AM$10+'TUSD BF'!$AM$10+'TUSD CVA'!$AM$10)*1</f>
        <v>28.040256427516418</v>
      </c>
      <c r="Z68" s="4"/>
      <c r="AA68" s="4"/>
      <c r="AB68" s="4">
        <f>$K$68*$V$68</f>
        <v>31566.42</v>
      </c>
      <c r="AC68" s="4">
        <f>$M$68*$W$68</f>
        <v>0</v>
      </c>
      <c r="AD68" s="4">
        <f>$O$68*$X$68</f>
        <v>0</v>
      </c>
      <c r="AE68" s="4">
        <f ca="1">$K$68*$Y$68</f>
        <v>39620.882332080699</v>
      </c>
      <c r="AF68" s="4">
        <f>$M$68*$Z$68</f>
        <v>0</v>
      </c>
      <c r="AG68" s="4">
        <f>$O$68*$AA$68</f>
        <v>0</v>
      </c>
    </row>
    <row r="69" spans="1:33" ht="11.25" customHeight="1" x14ac:dyDescent="0.25">
      <c r="A69" s="3" t="s">
        <v>28</v>
      </c>
      <c r="B69" s="3" t="s">
        <v>35</v>
      </c>
      <c r="C69" s="3" t="s">
        <v>36</v>
      </c>
      <c r="D69" s="3" t="s">
        <v>39</v>
      </c>
      <c r="E69" s="3" t="s">
        <v>25</v>
      </c>
      <c r="F69" s="3" t="s">
        <v>25</v>
      </c>
      <c r="G69" s="3" t="s">
        <v>25</v>
      </c>
      <c r="H69" s="3" t="s">
        <v>25</v>
      </c>
      <c r="I69" s="6">
        <v>44652</v>
      </c>
      <c r="J69" s="4">
        <v>180</v>
      </c>
      <c r="K69" s="4">
        <v>180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3" t="s">
        <v>26</v>
      </c>
      <c r="R69" s="3">
        <v>0</v>
      </c>
      <c r="S69" s="4">
        <v>22</v>
      </c>
      <c r="T69" s="4">
        <v>0</v>
      </c>
      <c r="U69" s="4">
        <v>0</v>
      </c>
      <c r="V69" s="4">
        <f>IF(ISERROR(VLOOKUP($S$69,'TAR FIN'!$A$1:$O$85,15,0)),0,VLOOKUP($S$69,'TAR FIN'!$A$1:$O$85,15,0))</f>
        <v>22.34</v>
      </c>
      <c r="W69" s="4">
        <f>IF(ISERROR(VLOOKUP($T$69,'TAR FIN'!$A$1:$O$85,15,0)),0,VLOOKUP($T$69,'TAR FIN'!$A$1:$O$85,15,0))</f>
        <v>0</v>
      </c>
      <c r="X69" s="4">
        <f>IF(ISERROR(VLOOKUP($U$69,'TAR FIN'!$A$1:$O$85,15,0)),0,VLOOKUP($U$69,'TAR FIN'!$A$1:$O$85,15,0))</f>
        <v>0</v>
      </c>
      <c r="Y69" s="4">
        <f ca="1">('TUSD BE'!$AM$10+'TUSD BF'!$AM$10+'TUSD CVA'!$AM$10)*1</f>
        <v>28.040256427516418</v>
      </c>
      <c r="Z69" s="4"/>
      <c r="AA69" s="4"/>
      <c r="AB69" s="4">
        <f>$K$69*$V$69</f>
        <v>4021.2</v>
      </c>
      <c r="AC69" s="4">
        <f>$M$69*$W$69</f>
        <v>0</v>
      </c>
      <c r="AD69" s="4">
        <f>$O$69*$X$69</f>
        <v>0</v>
      </c>
      <c r="AE69" s="4">
        <f ca="1">$K$69*$Y$69</f>
        <v>5047.2461569529551</v>
      </c>
      <c r="AF69" s="4">
        <f>$M$69*$Z$69</f>
        <v>0</v>
      </c>
      <c r="AG69" s="4">
        <f>$O$69*$AA$69</f>
        <v>0</v>
      </c>
    </row>
    <row r="70" spans="1:33" ht="11.25" customHeight="1" x14ac:dyDescent="0.25">
      <c r="A70" s="3" t="s">
        <v>21</v>
      </c>
      <c r="B70" s="3" t="s">
        <v>35</v>
      </c>
      <c r="C70" s="3" t="s">
        <v>36</v>
      </c>
      <c r="D70" s="3" t="s">
        <v>39</v>
      </c>
      <c r="E70" s="3" t="s">
        <v>25</v>
      </c>
      <c r="F70" s="3" t="s">
        <v>25</v>
      </c>
      <c r="G70" s="3" t="s">
        <v>25</v>
      </c>
      <c r="H70" s="3" t="s">
        <v>25</v>
      </c>
      <c r="I70" s="6">
        <v>44682</v>
      </c>
      <c r="J70" s="4">
        <v>1443</v>
      </c>
      <c r="K70" s="4">
        <v>1443</v>
      </c>
      <c r="L70" s="4">
        <v>0</v>
      </c>
      <c r="M70" s="4">
        <v>0</v>
      </c>
      <c r="N70" s="4">
        <v>0</v>
      </c>
      <c r="O70" s="4">
        <v>0</v>
      </c>
      <c r="P70" s="4">
        <v>13</v>
      </c>
      <c r="Q70" s="3" t="s">
        <v>26</v>
      </c>
      <c r="R70" s="3">
        <v>0</v>
      </c>
      <c r="S70" s="4">
        <v>22</v>
      </c>
      <c r="T70" s="4">
        <v>0</v>
      </c>
      <c r="U70" s="4">
        <v>0</v>
      </c>
      <c r="V70" s="4">
        <f>IF(ISERROR(VLOOKUP($S$70,'TAR FIN'!$A$1:$O$85,15,0)),0,VLOOKUP($S$70,'TAR FIN'!$A$1:$O$85,15,0))</f>
        <v>22.34</v>
      </c>
      <c r="W70" s="4">
        <f>IF(ISERROR(VLOOKUP($T$70,'TAR FIN'!$A$1:$O$85,15,0)),0,VLOOKUP($T$70,'TAR FIN'!$A$1:$O$85,15,0))</f>
        <v>0</v>
      </c>
      <c r="X70" s="4">
        <f>IF(ISERROR(VLOOKUP($U$70,'TAR FIN'!$A$1:$O$85,15,0)),0,VLOOKUP($U$70,'TAR FIN'!$A$1:$O$85,15,0))</f>
        <v>0</v>
      </c>
      <c r="Y70" s="4">
        <f ca="1">('TUSD BE'!$AM$10+'TUSD BF'!$AM$10+'TUSD CVA'!$AM$10)*1</f>
        <v>28.040256427516418</v>
      </c>
      <c r="Z70" s="4"/>
      <c r="AA70" s="4"/>
      <c r="AB70" s="4">
        <f>$K$70*$V$70</f>
        <v>32236.62</v>
      </c>
      <c r="AC70" s="4">
        <f>$M$70*$W$70</f>
        <v>0</v>
      </c>
      <c r="AD70" s="4">
        <f>$O$70*$X$70</f>
        <v>0</v>
      </c>
      <c r="AE70" s="4">
        <f ca="1">$K$70*$Y$70</f>
        <v>40462.090024906189</v>
      </c>
      <c r="AF70" s="4">
        <f>$M$70*$Z$70</f>
        <v>0</v>
      </c>
      <c r="AG70" s="4">
        <f>$O$70*$AA$70</f>
        <v>0</v>
      </c>
    </row>
    <row r="71" spans="1:33" ht="11.25" customHeight="1" x14ac:dyDescent="0.25">
      <c r="A71" s="3" t="s">
        <v>28</v>
      </c>
      <c r="B71" s="3" t="s">
        <v>35</v>
      </c>
      <c r="C71" s="3" t="s">
        <v>36</v>
      </c>
      <c r="D71" s="3" t="s">
        <v>39</v>
      </c>
      <c r="E71" s="3" t="s">
        <v>25</v>
      </c>
      <c r="F71" s="3" t="s">
        <v>25</v>
      </c>
      <c r="G71" s="3" t="s">
        <v>25</v>
      </c>
      <c r="H71" s="3" t="s">
        <v>25</v>
      </c>
      <c r="I71" s="6">
        <v>44682</v>
      </c>
      <c r="J71" s="4">
        <v>180</v>
      </c>
      <c r="K71" s="4">
        <v>180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3" t="s">
        <v>26</v>
      </c>
      <c r="R71" s="3">
        <v>0</v>
      </c>
      <c r="S71" s="4">
        <v>22</v>
      </c>
      <c r="T71" s="4">
        <v>0</v>
      </c>
      <c r="U71" s="4">
        <v>0</v>
      </c>
      <c r="V71" s="4">
        <f>IF(ISERROR(VLOOKUP($S$71,'TAR FIN'!$A$1:$O$85,15,0)),0,VLOOKUP($S$71,'TAR FIN'!$A$1:$O$85,15,0))</f>
        <v>22.34</v>
      </c>
      <c r="W71" s="4">
        <f>IF(ISERROR(VLOOKUP($T$71,'TAR FIN'!$A$1:$O$85,15,0)),0,VLOOKUP($T$71,'TAR FIN'!$A$1:$O$85,15,0))</f>
        <v>0</v>
      </c>
      <c r="X71" s="4">
        <f>IF(ISERROR(VLOOKUP($U$71,'TAR FIN'!$A$1:$O$85,15,0)),0,VLOOKUP($U$71,'TAR FIN'!$A$1:$O$85,15,0))</f>
        <v>0</v>
      </c>
      <c r="Y71" s="4">
        <f ca="1">('TUSD BE'!$AM$10+'TUSD BF'!$AM$10+'TUSD CVA'!$AM$10)*1</f>
        <v>28.040256427516418</v>
      </c>
      <c r="Z71" s="4"/>
      <c r="AA71" s="4"/>
      <c r="AB71" s="4">
        <f>$K$71*$V$71</f>
        <v>4021.2</v>
      </c>
      <c r="AC71" s="4">
        <f>$M$71*$W$71</f>
        <v>0</v>
      </c>
      <c r="AD71" s="4">
        <f>$O$71*$X$71</f>
        <v>0</v>
      </c>
      <c r="AE71" s="4">
        <f ca="1">$K$71*$Y$71</f>
        <v>5047.2461569529551</v>
      </c>
      <c r="AF71" s="4">
        <f>$M$71*$Z$71</f>
        <v>0</v>
      </c>
      <c r="AG71" s="4">
        <f>$O$71*$AA$71</f>
        <v>0</v>
      </c>
    </row>
    <row r="72" spans="1:33" ht="11.25" customHeight="1" x14ac:dyDescent="0.25">
      <c r="A72" s="3" t="s">
        <v>21</v>
      </c>
      <c r="B72" s="3" t="s">
        <v>35</v>
      </c>
      <c r="C72" s="3" t="s">
        <v>36</v>
      </c>
      <c r="D72" s="3" t="s">
        <v>39</v>
      </c>
      <c r="E72" s="3" t="s">
        <v>25</v>
      </c>
      <c r="F72" s="3" t="s">
        <v>25</v>
      </c>
      <c r="G72" s="3" t="s">
        <v>25</v>
      </c>
      <c r="H72" s="3" t="s">
        <v>25</v>
      </c>
      <c r="I72" s="6">
        <v>44713</v>
      </c>
      <c r="J72" s="4">
        <v>1264</v>
      </c>
      <c r="K72" s="4">
        <v>1264</v>
      </c>
      <c r="L72" s="4">
        <v>0</v>
      </c>
      <c r="M72" s="4">
        <v>0</v>
      </c>
      <c r="N72" s="4">
        <v>0</v>
      </c>
      <c r="O72" s="4">
        <v>0</v>
      </c>
      <c r="P72" s="4">
        <v>13</v>
      </c>
      <c r="Q72" s="3" t="s">
        <v>26</v>
      </c>
      <c r="R72" s="3">
        <v>0</v>
      </c>
      <c r="S72" s="4">
        <v>22</v>
      </c>
      <c r="T72" s="4">
        <v>0</v>
      </c>
      <c r="U72" s="4">
        <v>0</v>
      </c>
      <c r="V72" s="4">
        <f>IF(ISERROR(VLOOKUP($S$72,'TAR FIN'!$A$1:$O$85,15,0)),0,VLOOKUP($S$72,'TAR FIN'!$A$1:$O$85,15,0))</f>
        <v>22.34</v>
      </c>
      <c r="W72" s="4">
        <f>IF(ISERROR(VLOOKUP($T$72,'TAR FIN'!$A$1:$O$85,15,0)),0,VLOOKUP($T$72,'TAR FIN'!$A$1:$O$85,15,0))</f>
        <v>0</v>
      </c>
      <c r="X72" s="4">
        <f>IF(ISERROR(VLOOKUP($U$72,'TAR FIN'!$A$1:$O$85,15,0)),0,VLOOKUP($U$72,'TAR FIN'!$A$1:$O$85,15,0))</f>
        <v>0</v>
      </c>
      <c r="Y72" s="4">
        <f ca="1">('TUSD BE'!$AM$10+'TUSD BF'!$AM$10+'TUSD CVA'!$AM$10)*1</f>
        <v>28.040256427516418</v>
      </c>
      <c r="Z72" s="4"/>
      <c r="AA72" s="4"/>
      <c r="AB72" s="4">
        <f>$K$72*$V$72</f>
        <v>28237.759999999998</v>
      </c>
      <c r="AC72" s="4">
        <f>$M$72*$W$72</f>
        <v>0</v>
      </c>
      <c r="AD72" s="4">
        <f>$O$72*$X$72</f>
        <v>0</v>
      </c>
      <c r="AE72" s="4">
        <f ca="1">$K$72*$Y$72</f>
        <v>35442.884124380755</v>
      </c>
      <c r="AF72" s="4">
        <f>$M$72*$Z$72</f>
        <v>0</v>
      </c>
      <c r="AG72" s="4">
        <f>$O$72*$AA$72</f>
        <v>0</v>
      </c>
    </row>
    <row r="73" spans="1:33" ht="11.25" customHeight="1" x14ac:dyDescent="0.25">
      <c r="A73" s="3" t="s">
        <v>28</v>
      </c>
      <c r="B73" s="3" t="s">
        <v>35</v>
      </c>
      <c r="C73" s="3" t="s">
        <v>36</v>
      </c>
      <c r="D73" s="3" t="s">
        <v>39</v>
      </c>
      <c r="E73" s="3" t="s">
        <v>25</v>
      </c>
      <c r="F73" s="3" t="s">
        <v>25</v>
      </c>
      <c r="G73" s="3" t="s">
        <v>25</v>
      </c>
      <c r="H73" s="3" t="s">
        <v>25</v>
      </c>
      <c r="I73" s="6">
        <v>44713</v>
      </c>
      <c r="J73" s="4">
        <v>330</v>
      </c>
      <c r="K73" s="4">
        <v>330</v>
      </c>
      <c r="L73" s="4">
        <v>0</v>
      </c>
      <c r="M73" s="4">
        <v>0</v>
      </c>
      <c r="N73" s="4">
        <v>0</v>
      </c>
      <c r="O73" s="4">
        <v>0</v>
      </c>
      <c r="P73" s="4">
        <v>2</v>
      </c>
      <c r="Q73" s="3" t="s">
        <v>26</v>
      </c>
      <c r="R73" s="3">
        <v>0</v>
      </c>
      <c r="S73" s="4">
        <v>22</v>
      </c>
      <c r="T73" s="4">
        <v>0</v>
      </c>
      <c r="U73" s="4">
        <v>0</v>
      </c>
      <c r="V73" s="4">
        <f>IF(ISERROR(VLOOKUP($S$73,'TAR FIN'!$A$1:$O$85,15,0)),0,VLOOKUP($S$73,'TAR FIN'!$A$1:$O$85,15,0))</f>
        <v>22.34</v>
      </c>
      <c r="W73" s="4">
        <f>IF(ISERROR(VLOOKUP($T$73,'TAR FIN'!$A$1:$O$85,15,0)),0,VLOOKUP($T$73,'TAR FIN'!$A$1:$O$85,15,0))</f>
        <v>0</v>
      </c>
      <c r="X73" s="4">
        <f>IF(ISERROR(VLOOKUP($U$73,'TAR FIN'!$A$1:$O$85,15,0)),0,VLOOKUP($U$73,'TAR FIN'!$A$1:$O$85,15,0))</f>
        <v>0</v>
      </c>
      <c r="Y73" s="4">
        <f ca="1">('TUSD BE'!$AM$10+'TUSD BF'!$AM$10+'TUSD CVA'!$AM$10)*1</f>
        <v>28.040256427516418</v>
      </c>
      <c r="Z73" s="4"/>
      <c r="AA73" s="4"/>
      <c r="AB73" s="4">
        <f>$K$73*$V$73</f>
        <v>7372.2</v>
      </c>
      <c r="AC73" s="4">
        <f>$M$73*$W$73</f>
        <v>0</v>
      </c>
      <c r="AD73" s="4">
        <f>$O$73*$X$73</f>
        <v>0</v>
      </c>
      <c r="AE73" s="4">
        <f ca="1">$K$73*$Y$73</f>
        <v>9253.2846210804182</v>
      </c>
      <c r="AF73" s="4">
        <f>$M$73*$Z$73</f>
        <v>0</v>
      </c>
      <c r="AG73" s="4">
        <f>$O$73*$AA$73</f>
        <v>0</v>
      </c>
    </row>
    <row r="74" spans="1:33" ht="11.25" customHeight="1" x14ac:dyDescent="0.25">
      <c r="A74" s="3" t="s">
        <v>21</v>
      </c>
      <c r="B74" s="3" t="s">
        <v>35</v>
      </c>
      <c r="C74" s="3" t="s">
        <v>36</v>
      </c>
      <c r="D74" s="3" t="s">
        <v>39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44743</v>
      </c>
      <c r="J74" s="4">
        <v>1348</v>
      </c>
      <c r="K74" s="4">
        <v>1348</v>
      </c>
      <c r="L74" s="4">
        <v>0</v>
      </c>
      <c r="M74" s="4">
        <v>0</v>
      </c>
      <c r="N74" s="4">
        <v>0</v>
      </c>
      <c r="O74" s="4">
        <v>0</v>
      </c>
      <c r="P74" s="4">
        <v>13</v>
      </c>
      <c r="Q74" s="3" t="s">
        <v>26</v>
      </c>
      <c r="R74" s="3">
        <v>0</v>
      </c>
      <c r="S74" s="4">
        <v>22</v>
      </c>
      <c r="T74" s="4">
        <v>0</v>
      </c>
      <c r="U74" s="4">
        <v>0</v>
      </c>
      <c r="V74" s="4">
        <f>IF(ISERROR(VLOOKUP($S$74,'TAR FIN'!$A$1:$O$85,15,0)),0,VLOOKUP($S$74,'TAR FIN'!$A$1:$O$85,15,0))</f>
        <v>22.34</v>
      </c>
      <c r="W74" s="4">
        <f>IF(ISERROR(VLOOKUP($T$74,'TAR FIN'!$A$1:$O$85,15,0)),0,VLOOKUP($T$74,'TAR FIN'!$A$1:$O$85,15,0))</f>
        <v>0</v>
      </c>
      <c r="X74" s="4">
        <f>IF(ISERROR(VLOOKUP($U$74,'TAR FIN'!$A$1:$O$85,15,0)),0,VLOOKUP($U$74,'TAR FIN'!$A$1:$O$85,15,0))</f>
        <v>0</v>
      </c>
      <c r="Y74" s="4">
        <f ca="1">('TUSD BE'!$AM$10+'TUSD BF'!$AM$10+'TUSD CVA'!$AM$10)*1</f>
        <v>28.040256427516418</v>
      </c>
      <c r="Z74" s="4"/>
      <c r="AA74" s="4"/>
      <c r="AB74" s="4">
        <f>$K$74*$V$74</f>
        <v>30114.32</v>
      </c>
      <c r="AC74" s="4">
        <f>$M$74*$W$74</f>
        <v>0</v>
      </c>
      <c r="AD74" s="4">
        <f>$O$74*$X$74</f>
        <v>0</v>
      </c>
      <c r="AE74" s="4">
        <f ca="1">$K$74*$Y$74</f>
        <v>37798.265664292128</v>
      </c>
      <c r="AF74" s="4">
        <f>$M$74*$Z$74</f>
        <v>0</v>
      </c>
      <c r="AG74" s="4">
        <f>$O$74*$AA$74</f>
        <v>0</v>
      </c>
    </row>
    <row r="75" spans="1:33" ht="11.25" customHeight="1" x14ac:dyDescent="0.25">
      <c r="A75" s="3" t="s">
        <v>28</v>
      </c>
      <c r="B75" s="3" t="s">
        <v>35</v>
      </c>
      <c r="C75" s="3" t="s">
        <v>36</v>
      </c>
      <c r="D75" s="3" t="s">
        <v>39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44743</v>
      </c>
      <c r="J75" s="4">
        <v>330</v>
      </c>
      <c r="K75" s="4">
        <v>330</v>
      </c>
      <c r="L75" s="4">
        <v>0</v>
      </c>
      <c r="M75" s="4">
        <v>0</v>
      </c>
      <c r="N75" s="4">
        <v>0</v>
      </c>
      <c r="O75" s="4">
        <v>0</v>
      </c>
      <c r="P75" s="4">
        <v>2</v>
      </c>
      <c r="Q75" s="3" t="s">
        <v>26</v>
      </c>
      <c r="R75" s="3">
        <v>0</v>
      </c>
      <c r="S75" s="4">
        <v>22</v>
      </c>
      <c r="T75" s="4">
        <v>0</v>
      </c>
      <c r="U75" s="4">
        <v>0</v>
      </c>
      <c r="V75" s="4">
        <f>IF(ISERROR(VLOOKUP($S$75,'TAR FIN'!$A$1:$O$85,15,0)),0,VLOOKUP($S$75,'TAR FIN'!$A$1:$O$85,15,0))</f>
        <v>22.34</v>
      </c>
      <c r="W75" s="4">
        <f>IF(ISERROR(VLOOKUP($T$75,'TAR FIN'!$A$1:$O$85,15,0)),0,VLOOKUP($T$75,'TAR FIN'!$A$1:$O$85,15,0))</f>
        <v>0</v>
      </c>
      <c r="X75" s="4">
        <f>IF(ISERROR(VLOOKUP($U$75,'TAR FIN'!$A$1:$O$85,15,0)),0,VLOOKUP($U$75,'TAR FIN'!$A$1:$O$85,15,0))</f>
        <v>0</v>
      </c>
      <c r="Y75" s="4">
        <f ca="1">('TUSD BE'!$AM$10+'TUSD BF'!$AM$10+'TUSD CVA'!$AM$10)*1</f>
        <v>28.040256427516418</v>
      </c>
      <c r="Z75" s="4"/>
      <c r="AA75" s="4"/>
      <c r="AB75" s="4">
        <f>$K$75*$V$75</f>
        <v>7372.2</v>
      </c>
      <c r="AC75" s="4">
        <f>$M$75*$W$75</f>
        <v>0</v>
      </c>
      <c r="AD75" s="4">
        <f>$O$75*$X$75</f>
        <v>0</v>
      </c>
      <c r="AE75" s="4">
        <f ca="1">$K$75*$Y$75</f>
        <v>9253.2846210804182</v>
      </c>
      <c r="AF75" s="4">
        <f>$M$75*$Z$75</f>
        <v>0</v>
      </c>
      <c r="AG75" s="4">
        <f>$O$75*$AA$75</f>
        <v>0</v>
      </c>
    </row>
    <row r="76" spans="1:33" ht="11.25" customHeight="1" x14ac:dyDescent="0.25">
      <c r="A76" s="3" t="s">
        <v>21</v>
      </c>
      <c r="B76" s="3" t="s">
        <v>35</v>
      </c>
      <c r="C76" s="3" t="s">
        <v>36</v>
      </c>
      <c r="D76" s="3" t="s">
        <v>39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44774</v>
      </c>
      <c r="J76" s="4">
        <v>1418</v>
      </c>
      <c r="K76" s="4">
        <v>1418</v>
      </c>
      <c r="L76" s="4">
        <v>0</v>
      </c>
      <c r="M76" s="4">
        <v>0</v>
      </c>
      <c r="N76" s="4">
        <v>0</v>
      </c>
      <c r="O76" s="4">
        <v>0</v>
      </c>
      <c r="P76" s="4">
        <v>13</v>
      </c>
      <c r="Q76" s="3" t="s">
        <v>26</v>
      </c>
      <c r="R76" s="3">
        <v>0</v>
      </c>
      <c r="S76" s="4">
        <v>22</v>
      </c>
      <c r="T76" s="4">
        <v>0</v>
      </c>
      <c r="U76" s="4">
        <v>0</v>
      </c>
      <c r="V76" s="4">
        <f>IF(ISERROR(VLOOKUP($S$76,'TAR FIN'!$A$1:$O$85,15,0)),0,VLOOKUP($S$76,'TAR FIN'!$A$1:$O$85,15,0))</f>
        <v>22.34</v>
      </c>
      <c r="W76" s="4">
        <f>IF(ISERROR(VLOOKUP($T$76,'TAR FIN'!$A$1:$O$85,15,0)),0,VLOOKUP($T$76,'TAR FIN'!$A$1:$O$85,15,0))</f>
        <v>0</v>
      </c>
      <c r="X76" s="4">
        <f>IF(ISERROR(VLOOKUP($U$76,'TAR FIN'!$A$1:$O$85,15,0)),0,VLOOKUP($U$76,'TAR FIN'!$A$1:$O$85,15,0))</f>
        <v>0</v>
      </c>
      <c r="Y76" s="4">
        <f ca="1">('TUSD BE'!$AM$10+'TUSD BF'!$AM$10+'TUSD CVA'!$AM$10)*1</f>
        <v>28.040256427516418</v>
      </c>
      <c r="Z76" s="4"/>
      <c r="AA76" s="4"/>
      <c r="AB76" s="4">
        <f>$K$76*$V$76</f>
        <v>31678.12</v>
      </c>
      <c r="AC76" s="4">
        <f>$M$76*$W$76</f>
        <v>0</v>
      </c>
      <c r="AD76" s="4">
        <f>$O$76*$X$76</f>
        <v>0</v>
      </c>
      <c r="AE76" s="4">
        <f ca="1">$K$76*$Y$76</f>
        <v>39761.083614218282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28</v>
      </c>
      <c r="B77" s="3" t="s">
        <v>35</v>
      </c>
      <c r="C77" s="3" t="s">
        <v>36</v>
      </c>
      <c r="D77" s="3" t="s">
        <v>39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44774</v>
      </c>
      <c r="J77" s="4">
        <v>330</v>
      </c>
      <c r="K77" s="4">
        <v>330</v>
      </c>
      <c r="L77" s="4">
        <v>0</v>
      </c>
      <c r="M77" s="4">
        <v>0</v>
      </c>
      <c r="N77" s="4">
        <v>0</v>
      </c>
      <c r="O77" s="4">
        <v>0</v>
      </c>
      <c r="P77" s="4">
        <v>2</v>
      </c>
      <c r="Q77" s="3" t="s">
        <v>26</v>
      </c>
      <c r="R77" s="3">
        <v>0</v>
      </c>
      <c r="S77" s="4">
        <v>22</v>
      </c>
      <c r="T77" s="4">
        <v>0</v>
      </c>
      <c r="U77" s="4">
        <v>0</v>
      </c>
      <c r="V77" s="4">
        <f>IF(ISERROR(VLOOKUP($S$77,'TAR FIN'!$A$1:$O$85,15,0)),0,VLOOKUP($S$77,'TAR FIN'!$A$1:$O$85,15,0))</f>
        <v>22.34</v>
      </c>
      <c r="W77" s="4">
        <f>IF(ISERROR(VLOOKUP($T$77,'TAR FIN'!$A$1:$O$85,15,0)),0,VLOOKUP($T$77,'TAR FIN'!$A$1:$O$85,15,0))</f>
        <v>0</v>
      </c>
      <c r="X77" s="4">
        <f>IF(ISERROR(VLOOKUP($U$77,'TAR FIN'!$A$1:$O$85,15,0)),0,VLOOKUP($U$77,'TAR FIN'!$A$1:$O$85,15,0))</f>
        <v>0</v>
      </c>
      <c r="Y77" s="4">
        <f ca="1">('TUSD BE'!$AM$10+'TUSD BF'!$AM$10+'TUSD CVA'!$AM$10)*1</f>
        <v>28.040256427516418</v>
      </c>
      <c r="Z77" s="4"/>
      <c r="AA77" s="4"/>
      <c r="AB77" s="4">
        <f>$K$77*$V$77</f>
        <v>7372.2</v>
      </c>
      <c r="AC77" s="4">
        <f>$M$77*$W$77</f>
        <v>0</v>
      </c>
      <c r="AD77" s="4">
        <f>$O$77*$X$77</f>
        <v>0</v>
      </c>
      <c r="AE77" s="4">
        <f ca="1">$K$77*$Y$77</f>
        <v>9253.2846210804182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35</v>
      </c>
      <c r="C78" s="3" t="s">
        <v>36</v>
      </c>
      <c r="D78" s="3" t="s">
        <v>39</v>
      </c>
      <c r="E78" s="3" t="s">
        <v>25</v>
      </c>
      <c r="F78" s="3" t="s">
        <v>25</v>
      </c>
      <c r="G78" s="3" t="s">
        <v>25</v>
      </c>
      <c r="H78" s="3" t="s">
        <v>37</v>
      </c>
      <c r="I78" s="6">
        <v>44440</v>
      </c>
      <c r="J78" s="4">
        <v>0</v>
      </c>
      <c r="K78" s="4">
        <v>0</v>
      </c>
      <c r="L78" s="4">
        <v>15.021000000000001</v>
      </c>
      <c r="M78" s="4">
        <v>15.021000000000001</v>
      </c>
      <c r="N78" s="4">
        <v>15.021000000000001</v>
      </c>
      <c r="O78" s="4">
        <v>15.021000000000001</v>
      </c>
      <c r="P78" s="4">
        <v>0</v>
      </c>
      <c r="Q78" s="3" t="s">
        <v>26</v>
      </c>
      <c r="R78" s="3">
        <v>0</v>
      </c>
      <c r="S78" s="4">
        <v>0</v>
      </c>
      <c r="T78" s="4">
        <v>33</v>
      </c>
      <c r="U78" s="4">
        <v>51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1936.94</v>
      </c>
      <c r="X78" s="4">
        <f>IF(ISERROR(VLOOKUP($U$78,'TAR FIN'!$A$1:$O$85,15,0)),0,VLOOKUP($U$78,'TAR FIN'!$A$1:$O$85,15,0))</f>
        <v>267.91000000000003</v>
      </c>
      <c r="Y78" s="4"/>
      <c r="Z78" s="4">
        <f ca="1">('TUSD BE'!$AM$11+'TUSD BF'!$AM$11+'TUSD CVA'!$AM$11)*1</f>
        <v>2207.1738391087315</v>
      </c>
      <c r="AA78" s="4">
        <f>('TE BE'!$AB$5+'TE BF'!$AB$5+'TE CVA'!$AB$5)*1</f>
        <v>185.42082399535556</v>
      </c>
      <c r="AB78" s="4">
        <f>$K$78*$V$78</f>
        <v>0</v>
      </c>
      <c r="AC78" s="4">
        <f>$M$78*$W$78</f>
        <v>29094.775740000001</v>
      </c>
      <c r="AD78" s="4">
        <f>$O$78*$X$78</f>
        <v>4024.2761100000007</v>
      </c>
      <c r="AE78" s="4">
        <f>$K$78*$Y$78</f>
        <v>0</v>
      </c>
      <c r="AF78" s="4">
        <f ca="1">$M$78*$Z$78</f>
        <v>33153.958237252256</v>
      </c>
      <c r="AG78" s="4">
        <f>$O$78*$AA$78</f>
        <v>2785.2061972342362</v>
      </c>
    </row>
    <row r="79" spans="1:33" ht="11.25" customHeight="1" x14ac:dyDescent="0.25">
      <c r="A79" s="3" t="s">
        <v>21</v>
      </c>
      <c r="B79" s="3" t="s">
        <v>35</v>
      </c>
      <c r="C79" s="3" t="s">
        <v>36</v>
      </c>
      <c r="D79" s="3" t="s">
        <v>39</v>
      </c>
      <c r="E79" s="3" t="s">
        <v>25</v>
      </c>
      <c r="F79" s="3" t="s">
        <v>25</v>
      </c>
      <c r="G79" s="3" t="s">
        <v>25</v>
      </c>
      <c r="H79" s="3" t="s">
        <v>37</v>
      </c>
      <c r="I79" s="6">
        <v>44470</v>
      </c>
      <c r="J79" s="4">
        <v>0</v>
      </c>
      <c r="K79" s="4">
        <v>0</v>
      </c>
      <c r="L79" s="4">
        <v>13.276999999999999</v>
      </c>
      <c r="M79" s="4">
        <v>13.276999999999999</v>
      </c>
      <c r="N79" s="4">
        <v>13.276999999999999</v>
      </c>
      <c r="O79" s="4">
        <v>13.276999999999999</v>
      </c>
      <c r="P79" s="4">
        <v>0</v>
      </c>
      <c r="Q79" s="3" t="s">
        <v>26</v>
      </c>
      <c r="R79" s="3">
        <v>0</v>
      </c>
      <c r="S79" s="4">
        <v>0</v>
      </c>
      <c r="T79" s="4">
        <v>33</v>
      </c>
      <c r="U79" s="4">
        <v>51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1936.94</v>
      </c>
      <c r="X79" s="4">
        <f>IF(ISERROR(VLOOKUP($U$79,'TAR FIN'!$A$1:$O$85,15,0)),0,VLOOKUP($U$79,'TAR FIN'!$A$1:$O$85,15,0))</f>
        <v>267.91000000000003</v>
      </c>
      <c r="Y79" s="4"/>
      <c r="Z79" s="4">
        <f ca="1">('TUSD BE'!$AM$11+'TUSD BF'!$AM$11+'TUSD CVA'!$AM$11)*1</f>
        <v>2207.1738391087315</v>
      </c>
      <c r="AA79" s="4">
        <f>('TE BE'!$AB$5+'TE BF'!$AB$5+'TE CVA'!$AB$5)*1</f>
        <v>185.42082399535556</v>
      </c>
      <c r="AB79" s="4">
        <f>$K$79*$V$79</f>
        <v>0</v>
      </c>
      <c r="AC79" s="4">
        <f>$M$79*$W$79</f>
        <v>25716.752379999998</v>
      </c>
      <c r="AD79" s="4">
        <f>$O$79*$X$79</f>
        <v>3557.0410700000002</v>
      </c>
      <c r="AE79" s="4">
        <f>$K$79*$Y$79</f>
        <v>0</v>
      </c>
      <c r="AF79" s="4">
        <f ca="1">$M$79*$Z$79</f>
        <v>29304.647061846626</v>
      </c>
      <c r="AG79" s="4">
        <f>$O$79*$AA$79</f>
        <v>2461.8322801863355</v>
      </c>
    </row>
    <row r="80" spans="1:33" ht="11.25" customHeight="1" x14ac:dyDescent="0.25">
      <c r="A80" s="3" t="s">
        <v>21</v>
      </c>
      <c r="B80" s="3" t="s">
        <v>35</v>
      </c>
      <c r="C80" s="3" t="s">
        <v>36</v>
      </c>
      <c r="D80" s="3" t="s">
        <v>39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44501</v>
      </c>
      <c r="J80" s="4">
        <v>0</v>
      </c>
      <c r="K80" s="4">
        <v>0</v>
      </c>
      <c r="L80" s="4">
        <v>13.112</v>
      </c>
      <c r="M80" s="4">
        <v>13.112</v>
      </c>
      <c r="N80" s="4">
        <v>13.112</v>
      </c>
      <c r="O80" s="4">
        <v>13.112</v>
      </c>
      <c r="P80" s="4">
        <v>0</v>
      </c>
      <c r="Q80" s="3" t="s">
        <v>26</v>
      </c>
      <c r="R80" s="3">
        <v>0</v>
      </c>
      <c r="S80" s="4">
        <v>0</v>
      </c>
      <c r="T80" s="4">
        <v>33</v>
      </c>
      <c r="U80" s="4">
        <v>51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1936.94</v>
      </c>
      <c r="X80" s="4">
        <f>IF(ISERROR(VLOOKUP($U$80,'TAR FIN'!$A$1:$O$85,15,0)),0,VLOOKUP($U$80,'TAR FIN'!$A$1:$O$85,15,0))</f>
        <v>267.91000000000003</v>
      </c>
      <c r="Y80" s="4"/>
      <c r="Z80" s="4">
        <f ca="1">('TUSD BE'!$AM$11+'TUSD BF'!$AM$11+'TUSD CVA'!$AM$11)*1</f>
        <v>2207.1738391087315</v>
      </c>
      <c r="AA80" s="4">
        <f>('TE BE'!$AB$5+'TE BF'!$AB$5+'TE CVA'!$AB$5)*1</f>
        <v>185.42082399535556</v>
      </c>
      <c r="AB80" s="4">
        <f>$K$80*$V$80</f>
        <v>0</v>
      </c>
      <c r="AC80" s="4">
        <f>$M$80*$W$80</f>
        <v>25397.157279999999</v>
      </c>
      <c r="AD80" s="4">
        <f>$O$80*$X$80</f>
        <v>3512.8359200000004</v>
      </c>
      <c r="AE80" s="4">
        <f>$K$80*$Y$80</f>
        <v>0</v>
      </c>
      <c r="AF80" s="4">
        <f ca="1">$M$80*$Z$80</f>
        <v>28940.463378393688</v>
      </c>
      <c r="AG80" s="4">
        <f>$O$80*$AA$80</f>
        <v>2431.237844227102</v>
      </c>
    </row>
    <row r="81" spans="1:33" ht="11.25" customHeight="1" x14ac:dyDescent="0.25">
      <c r="A81" s="3" t="s">
        <v>21</v>
      </c>
      <c r="B81" s="3" t="s">
        <v>35</v>
      </c>
      <c r="C81" s="3" t="s">
        <v>36</v>
      </c>
      <c r="D81" s="3" t="s">
        <v>39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44531</v>
      </c>
      <c r="J81" s="4">
        <v>0</v>
      </c>
      <c r="K81" s="4">
        <v>0</v>
      </c>
      <c r="L81" s="4">
        <v>14.544</v>
      </c>
      <c r="M81" s="4">
        <v>14.544</v>
      </c>
      <c r="N81" s="4">
        <v>14.544</v>
      </c>
      <c r="O81" s="4">
        <v>14.544</v>
      </c>
      <c r="P81" s="4">
        <v>0</v>
      </c>
      <c r="Q81" s="3" t="s">
        <v>26</v>
      </c>
      <c r="R81" s="3">
        <v>0</v>
      </c>
      <c r="S81" s="4">
        <v>0</v>
      </c>
      <c r="T81" s="4">
        <v>33</v>
      </c>
      <c r="U81" s="4">
        <v>51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1936.94</v>
      </c>
      <c r="X81" s="4">
        <f>IF(ISERROR(VLOOKUP($U$81,'TAR FIN'!$A$1:$O$85,15,0)),0,VLOOKUP($U$81,'TAR FIN'!$A$1:$O$85,15,0))</f>
        <v>267.91000000000003</v>
      </c>
      <c r="Y81" s="4"/>
      <c r="Z81" s="4">
        <f ca="1">('TUSD BE'!$AM$11+'TUSD BF'!$AM$11+'TUSD CVA'!$AM$11)*1</f>
        <v>2207.1738391087315</v>
      </c>
      <c r="AA81" s="4">
        <f>('TE BE'!$AB$5+'TE BF'!$AB$5+'TE CVA'!$AB$5)*1</f>
        <v>185.42082399535556</v>
      </c>
      <c r="AB81" s="4">
        <f>$K$81*$V$81</f>
        <v>0</v>
      </c>
      <c r="AC81" s="4">
        <f>$M$81*$W$81</f>
        <v>28170.855360000001</v>
      </c>
      <c r="AD81" s="4">
        <f>$O$81*$X$81</f>
        <v>3896.4830400000005</v>
      </c>
      <c r="AE81" s="4">
        <f>$K$81*$Y$81</f>
        <v>0</v>
      </c>
      <c r="AF81" s="4">
        <f ca="1">$M$81*$Z$81</f>
        <v>32101.136315997392</v>
      </c>
      <c r="AG81" s="4">
        <f>$O$81*$AA$81</f>
        <v>2696.7604641884514</v>
      </c>
    </row>
    <row r="82" spans="1:33" ht="11.25" customHeight="1" x14ac:dyDescent="0.25">
      <c r="A82" s="3" t="s">
        <v>21</v>
      </c>
      <c r="B82" s="3" t="s">
        <v>35</v>
      </c>
      <c r="C82" s="3" t="s">
        <v>36</v>
      </c>
      <c r="D82" s="3" t="s">
        <v>39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44562</v>
      </c>
      <c r="J82" s="4">
        <v>0</v>
      </c>
      <c r="K82" s="4">
        <v>0</v>
      </c>
      <c r="L82" s="4">
        <v>13.667999999999999</v>
      </c>
      <c r="M82" s="4">
        <v>13.667999999999999</v>
      </c>
      <c r="N82" s="4">
        <v>13.667999999999999</v>
      </c>
      <c r="O82" s="4">
        <v>13.667999999999999</v>
      </c>
      <c r="P82" s="4">
        <v>0</v>
      </c>
      <c r="Q82" s="3" t="s">
        <v>26</v>
      </c>
      <c r="R82" s="3">
        <v>0</v>
      </c>
      <c r="S82" s="4">
        <v>0</v>
      </c>
      <c r="T82" s="4">
        <v>33</v>
      </c>
      <c r="U82" s="4">
        <v>51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1936.94</v>
      </c>
      <c r="X82" s="4">
        <f>IF(ISERROR(VLOOKUP($U$82,'TAR FIN'!$A$1:$O$85,15,0)),0,VLOOKUP($U$82,'TAR FIN'!$A$1:$O$85,15,0))</f>
        <v>267.91000000000003</v>
      </c>
      <c r="Y82" s="4"/>
      <c r="Z82" s="4">
        <f ca="1">('TUSD BE'!$AM$11+'TUSD BF'!$AM$11+'TUSD CVA'!$AM$11)*1</f>
        <v>2207.1738391087315</v>
      </c>
      <c r="AA82" s="4">
        <f>('TE BE'!$AB$5+'TE BF'!$AB$5+'TE CVA'!$AB$5)*1</f>
        <v>185.42082399535556</v>
      </c>
      <c r="AB82" s="4">
        <f>$K$82*$V$82</f>
        <v>0</v>
      </c>
      <c r="AC82" s="4">
        <f>$M$82*$W$82</f>
        <v>26474.09592</v>
      </c>
      <c r="AD82" s="4">
        <f>$O$82*$X$82</f>
        <v>3661.7938800000002</v>
      </c>
      <c r="AE82" s="4">
        <f>$K$82*$Y$82</f>
        <v>0</v>
      </c>
      <c r="AF82" s="4">
        <f ca="1">$M$82*$Z$82</f>
        <v>30167.652032938142</v>
      </c>
      <c r="AG82" s="4">
        <f>$O$82*$AA$82</f>
        <v>2534.3318223685196</v>
      </c>
    </row>
    <row r="83" spans="1:33" ht="11.25" customHeight="1" x14ac:dyDescent="0.25">
      <c r="A83" s="3" t="s">
        <v>21</v>
      </c>
      <c r="B83" s="3" t="s">
        <v>35</v>
      </c>
      <c r="C83" s="3" t="s">
        <v>36</v>
      </c>
      <c r="D83" s="3" t="s">
        <v>39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44593</v>
      </c>
      <c r="J83" s="4">
        <v>0</v>
      </c>
      <c r="K83" s="4">
        <v>0</v>
      </c>
      <c r="L83" s="4">
        <v>14.003</v>
      </c>
      <c r="M83" s="4">
        <v>14.003</v>
      </c>
      <c r="N83" s="4">
        <v>14.003</v>
      </c>
      <c r="O83" s="4">
        <v>14.003</v>
      </c>
      <c r="P83" s="4">
        <v>0</v>
      </c>
      <c r="Q83" s="3" t="s">
        <v>26</v>
      </c>
      <c r="R83" s="3">
        <v>0</v>
      </c>
      <c r="S83" s="4">
        <v>0</v>
      </c>
      <c r="T83" s="4">
        <v>33</v>
      </c>
      <c r="U83" s="4">
        <v>51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1936.94</v>
      </c>
      <c r="X83" s="4">
        <f>IF(ISERROR(VLOOKUP($U$83,'TAR FIN'!$A$1:$O$85,15,0)),0,VLOOKUP($U$83,'TAR FIN'!$A$1:$O$85,15,0))</f>
        <v>267.91000000000003</v>
      </c>
      <c r="Y83" s="4"/>
      <c r="Z83" s="4">
        <f ca="1">('TUSD BE'!$AM$11+'TUSD BF'!$AM$11+'TUSD CVA'!$AM$11)*1</f>
        <v>2207.1738391087315</v>
      </c>
      <c r="AA83" s="4">
        <f>('TE BE'!$AB$5+'TE BF'!$AB$5+'TE CVA'!$AB$5)*1</f>
        <v>185.42082399535556</v>
      </c>
      <c r="AB83" s="4">
        <f>$K$83*$V$83</f>
        <v>0</v>
      </c>
      <c r="AC83" s="4">
        <f>$M$83*$W$83</f>
        <v>27122.970820000002</v>
      </c>
      <c r="AD83" s="4">
        <f>$O$83*$X$83</f>
        <v>3751.5437300000003</v>
      </c>
      <c r="AE83" s="4">
        <f>$K$83*$Y$83</f>
        <v>0</v>
      </c>
      <c r="AF83" s="4">
        <f ca="1">$M$83*$Z$83</f>
        <v>30907.055269039567</v>
      </c>
      <c r="AG83" s="4">
        <f>$O$83*$AA$83</f>
        <v>2596.447798406964</v>
      </c>
    </row>
    <row r="84" spans="1:33" ht="11.25" customHeight="1" x14ac:dyDescent="0.25">
      <c r="A84" s="3" t="s">
        <v>21</v>
      </c>
      <c r="B84" s="3" t="s">
        <v>35</v>
      </c>
      <c r="C84" s="3" t="s">
        <v>36</v>
      </c>
      <c r="D84" s="3" t="s">
        <v>39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44621</v>
      </c>
      <c r="J84" s="4">
        <v>0</v>
      </c>
      <c r="K84" s="4">
        <v>0</v>
      </c>
      <c r="L84" s="4">
        <v>18.274000000000001</v>
      </c>
      <c r="M84" s="4">
        <v>18.274000000000001</v>
      </c>
      <c r="N84" s="4">
        <v>18.274000000000001</v>
      </c>
      <c r="O84" s="4">
        <v>18.274000000000001</v>
      </c>
      <c r="P84" s="4">
        <v>0</v>
      </c>
      <c r="Q84" s="3" t="s">
        <v>26</v>
      </c>
      <c r="R84" s="3">
        <v>0</v>
      </c>
      <c r="S84" s="4">
        <v>0</v>
      </c>
      <c r="T84" s="4">
        <v>33</v>
      </c>
      <c r="U84" s="4">
        <v>51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1936.94</v>
      </c>
      <c r="X84" s="4">
        <f>IF(ISERROR(VLOOKUP($U$84,'TAR FIN'!$A$1:$O$85,15,0)),0,VLOOKUP($U$84,'TAR FIN'!$A$1:$O$85,15,0))</f>
        <v>267.91000000000003</v>
      </c>
      <c r="Y84" s="4"/>
      <c r="Z84" s="4">
        <f ca="1">('TUSD BE'!$AM$11+'TUSD BF'!$AM$11+'TUSD CVA'!$AM$11)*1</f>
        <v>2207.1738391087315</v>
      </c>
      <c r="AA84" s="4">
        <f>('TE BE'!$AB$5+'TE BF'!$AB$5+'TE CVA'!$AB$5)*1</f>
        <v>185.42082399535556</v>
      </c>
      <c r="AB84" s="4">
        <f>$K$84*$V$84</f>
        <v>0</v>
      </c>
      <c r="AC84" s="4">
        <f>$M$84*$W$84</f>
        <v>35395.641560000004</v>
      </c>
      <c r="AD84" s="4">
        <f>$O$84*$X$84</f>
        <v>4895.7873400000008</v>
      </c>
      <c r="AE84" s="4">
        <f>$K$84*$Y$84</f>
        <v>0</v>
      </c>
      <c r="AF84" s="4">
        <f ca="1">$M$84*$Z$84</f>
        <v>40333.894735872964</v>
      </c>
      <c r="AG84" s="4">
        <f>$O$84*$AA$84</f>
        <v>3388.3801376911279</v>
      </c>
    </row>
    <row r="85" spans="1:33" ht="11.25" customHeight="1" x14ac:dyDescent="0.25">
      <c r="A85" s="3" t="s">
        <v>21</v>
      </c>
      <c r="B85" s="3" t="s">
        <v>35</v>
      </c>
      <c r="C85" s="3" t="s">
        <v>36</v>
      </c>
      <c r="D85" s="3" t="s">
        <v>39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44652</v>
      </c>
      <c r="J85" s="4">
        <v>0</v>
      </c>
      <c r="K85" s="4">
        <v>0</v>
      </c>
      <c r="L85" s="4">
        <v>13.189</v>
      </c>
      <c r="M85" s="4">
        <v>13.189</v>
      </c>
      <c r="N85" s="4">
        <v>13.189</v>
      </c>
      <c r="O85" s="4">
        <v>13.189</v>
      </c>
      <c r="P85" s="4">
        <v>0</v>
      </c>
      <c r="Q85" s="3" t="s">
        <v>26</v>
      </c>
      <c r="R85" s="3">
        <v>0</v>
      </c>
      <c r="S85" s="4">
        <v>0</v>
      </c>
      <c r="T85" s="4">
        <v>33</v>
      </c>
      <c r="U85" s="4">
        <v>51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1936.94</v>
      </c>
      <c r="X85" s="4">
        <f>IF(ISERROR(VLOOKUP($U$85,'TAR FIN'!$A$1:$O$85,15,0)),0,VLOOKUP($U$85,'TAR FIN'!$A$1:$O$85,15,0))</f>
        <v>267.91000000000003</v>
      </c>
      <c r="Y85" s="4"/>
      <c r="Z85" s="4">
        <f ca="1">('TUSD BE'!$AM$11+'TUSD BF'!$AM$11+'TUSD CVA'!$AM$11)*1</f>
        <v>2207.1738391087315</v>
      </c>
      <c r="AA85" s="4">
        <f>('TE BE'!$AB$5+'TE BF'!$AB$5+'TE CVA'!$AB$5)*1</f>
        <v>185.42082399535556</v>
      </c>
      <c r="AB85" s="4">
        <f>$K$85*$V$85</f>
        <v>0</v>
      </c>
      <c r="AC85" s="4">
        <f>$M$85*$W$85</f>
        <v>25546.301660000001</v>
      </c>
      <c r="AD85" s="4">
        <f>$O$85*$X$85</f>
        <v>3533.4649900000004</v>
      </c>
      <c r="AE85" s="4">
        <f>$K$85*$Y$85</f>
        <v>0</v>
      </c>
      <c r="AF85" s="4">
        <f ca="1">$M$85*$Z$85</f>
        <v>29110.415764005062</v>
      </c>
      <c r="AG85" s="4">
        <f>$O$85*$AA$85</f>
        <v>2445.5152476747444</v>
      </c>
    </row>
    <row r="86" spans="1:33" ht="11.25" customHeight="1" x14ac:dyDescent="0.25">
      <c r="A86" s="3" t="s">
        <v>21</v>
      </c>
      <c r="B86" s="3" t="s">
        <v>35</v>
      </c>
      <c r="C86" s="3" t="s">
        <v>36</v>
      </c>
      <c r="D86" s="3" t="s">
        <v>39</v>
      </c>
      <c r="E86" s="3" t="s">
        <v>25</v>
      </c>
      <c r="F86" s="3" t="s">
        <v>25</v>
      </c>
      <c r="G86" s="3" t="s">
        <v>25</v>
      </c>
      <c r="H86" s="3" t="s">
        <v>37</v>
      </c>
      <c r="I86" s="6">
        <v>44682</v>
      </c>
      <c r="J86" s="4">
        <v>0</v>
      </c>
      <c r="K86" s="4">
        <v>0</v>
      </c>
      <c r="L86" s="4">
        <v>17.379000000000001</v>
      </c>
      <c r="M86" s="4">
        <v>17.379000000000001</v>
      </c>
      <c r="N86" s="4">
        <v>17.379000000000001</v>
      </c>
      <c r="O86" s="4">
        <v>17.379000000000001</v>
      </c>
      <c r="P86" s="4">
        <v>0</v>
      </c>
      <c r="Q86" s="3" t="s">
        <v>26</v>
      </c>
      <c r="R86" s="3">
        <v>0</v>
      </c>
      <c r="S86" s="4">
        <v>0</v>
      </c>
      <c r="T86" s="4">
        <v>33</v>
      </c>
      <c r="U86" s="4">
        <v>51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1936.94</v>
      </c>
      <c r="X86" s="4">
        <f>IF(ISERROR(VLOOKUP($U$86,'TAR FIN'!$A$1:$O$85,15,0)),0,VLOOKUP($U$86,'TAR FIN'!$A$1:$O$85,15,0))</f>
        <v>267.91000000000003</v>
      </c>
      <c r="Y86" s="4"/>
      <c r="Z86" s="4">
        <f ca="1">('TUSD BE'!$AM$11+'TUSD BF'!$AM$11+'TUSD CVA'!$AM$11)*1</f>
        <v>2207.1738391087315</v>
      </c>
      <c r="AA86" s="4">
        <f>('TE BE'!$AB$5+'TE BF'!$AB$5+'TE CVA'!$AB$5)*1</f>
        <v>185.42082399535556</v>
      </c>
      <c r="AB86" s="4">
        <f>$K$86*$V$86</f>
        <v>0</v>
      </c>
      <c r="AC86" s="4">
        <f>$M$86*$W$86</f>
        <v>33662.080260000002</v>
      </c>
      <c r="AD86" s="4">
        <f>$O$86*$X$86</f>
        <v>4656.0078900000008</v>
      </c>
      <c r="AE86" s="4">
        <f>$K$86*$Y$86</f>
        <v>0</v>
      </c>
      <c r="AF86" s="4">
        <f ca="1">$M$86*$Z$86</f>
        <v>38358.47414987065</v>
      </c>
      <c r="AG86" s="4">
        <f>$O$86*$AA$86</f>
        <v>3222.4285002152847</v>
      </c>
    </row>
    <row r="87" spans="1:33" ht="11.25" customHeight="1" x14ac:dyDescent="0.25">
      <c r="A87" s="3" t="s">
        <v>21</v>
      </c>
      <c r="B87" s="3" t="s">
        <v>35</v>
      </c>
      <c r="C87" s="3" t="s">
        <v>36</v>
      </c>
      <c r="D87" s="3" t="s">
        <v>39</v>
      </c>
      <c r="E87" s="3" t="s">
        <v>25</v>
      </c>
      <c r="F87" s="3" t="s">
        <v>25</v>
      </c>
      <c r="G87" s="3" t="s">
        <v>25</v>
      </c>
      <c r="H87" s="3" t="s">
        <v>37</v>
      </c>
      <c r="I87" s="6">
        <v>44713</v>
      </c>
      <c r="J87" s="4">
        <v>0</v>
      </c>
      <c r="K87" s="4">
        <v>0</v>
      </c>
      <c r="L87" s="4">
        <v>6.5350000000000001</v>
      </c>
      <c r="M87" s="4">
        <v>6.5350000000000001</v>
      </c>
      <c r="N87" s="4">
        <v>6.5350000000000001</v>
      </c>
      <c r="O87" s="4">
        <v>6.5350000000000001</v>
      </c>
      <c r="P87" s="4">
        <v>0</v>
      </c>
      <c r="Q87" s="3" t="s">
        <v>26</v>
      </c>
      <c r="R87" s="3">
        <v>0</v>
      </c>
      <c r="S87" s="4">
        <v>0</v>
      </c>
      <c r="T87" s="4">
        <v>33</v>
      </c>
      <c r="U87" s="4">
        <v>51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1936.94</v>
      </c>
      <c r="X87" s="4">
        <f>IF(ISERROR(VLOOKUP($U$87,'TAR FIN'!$A$1:$O$85,15,0)),0,VLOOKUP($U$87,'TAR FIN'!$A$1:$O$85,15,0))</f>
        <v>267.91000000000003</v>
      </c>
      <c r="Y87" s="4"/>
      <c r="Z87" s="4">
        <f ca="1">('TUSD BE'!$AM$11+'TUSD BF'!$AM$11+'TUSD CVA'!$AM$11)*1</f>
        <v>2207.1738391087315</v>
      </c>
      <c r="AA87" s="4">
        <f>('TE BE'!$AB$5+'TE BF'!$AB$5+'TE CVA'!$AB$5)*1</f>
        <v>185.42082399535556</v>
      </c>
      <c r="AB87" s="4">
        <f>$K$87*$V$87</f>
        <v>0</v>
      </c>
      <c r="AC87" s="4">
        <f>$M$87*$W$87</f>
        <v>12657.902900000001</v>
      </c>
      <c r="AD87" s="4">
        <f>$O$87*$X$87</f>
        <v>1750.7918500000003</v>
      </c>
      <c r="AE87" s="4">
        <f>$K$87*$Y$87</f>
        <v>0</v>
      </c>
      <c r="AF87" s="4">
        <f ca="1">$M$87*$Z$87</f>
        <v>14423.881038575561</v>
      </c>
      <c r="AG87" s="4">
        <f>$O$87*$AA$87</f>
        <v>1211.7250848096487</v>
      </c>
    </row>
    <row r="88" spans="1:33" ht="11.25" customHeight="1" x14ac:dyDescent="0.25">
      <c r="A88" s="3" t="s">
        <v>28</v>
      </c>
      <c r="B88" s="3" t="s">
        <v>35</v>
      </c>
      <c r="C88" s="3" t="s">
        <v>36</v>
      </c>
      <c r="D88" s="3" t="s">
        <v>39</v>
      </c>
      <c r="E88" s="3" t="s">
        <v>25</v>
      </c>
      <c r="F88" s="3" t="s">
        <v>25</v>
      </c>
      <c r="G88" s="3" t="s">
        <v>25</v>
      </c>
      <c r="H88" s="3" t="s">
        <v>37</v>
      </c>
      <c r="I88" s="6">
        <v>44713</v>
      </c>
      <c r="J88" s="4">
        <v>0</v>
      </c>
      <c r="K88" s="4">
        <v>0</v>
      </c>
      <c r="L88" s="4">
        <v>6.15</v>
      </c>
      <c r="M88" s="4">
        <v>6.15</v>
      </c>
      <c r="N88" s="4">
        <v>6.15</v>
      </c>
      <c r="O88" s="4">
        <v>6.15</v>
      </c>
      <c r="P88" s="4">
        <v>0</v>
      </c>
      <c r="Q88" s="3" t="s">
        <v>26</v>
      </c>
      <c r="R88" s="3">
        <v>0</v>
      </c>
      <c r="S88" s="4">
        <v>0</v>
      </c>
      <c r="T88" s="4">
        <v>33</v>
      </c>
      <c r="U88" s="4">
        <v>51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1936.94</v>
      </c>
      <c r="X88" s="4">
        <f>IF(ISERROR(VLOOKUP($U$88,'TAR FIN'!$A$1:$O$85,15,0)),0,VLOOKUP($U$88,'TAR FIN'!$A$1:$O$85,15,0))</f>
        <v>267.91000000000003</v>
      </c>
      <c r="Y88" s="4"/>
      <c r="Z88" s="4">
        <f ca="1">('TUSD BE'!$AM$11+'TUSD BF'!$AM$11+'TUSD CVA'!$AM$11)*1</f>
        <v>2207.1738391087315</v>
      </c>
      <c r="AA88" s="4">
        <f>('TE BE'!$AB$5+'TE BF'!$AB$5+'TE CVA'!$AB$5)*1</f>
        <v>185.42082399535556</v>
      </c>
      <c r="AB88" s="4">
        <f>$K$88*$V$88</f>
        <v>0</v>
      </c>
      <c r="AC88" s="4">
        <f>$M$88*$W$88</f>
        <v>11912.181</v>
      </c>
      <c r="AD88" s="4">
        <f>$O$88*$X$88</f>
        <v>1647.6465000000003</v>
      </c>
      <c r="AE88" s="4">
        <f>$K$88*$Y$88</f>
        <v>0</v>
      </c>
      <c r="AF88" s="4">
        <f ca="1">$M$88*$Z$88</f>
        <v>13574.119110518699</v>
      </c>
      <c r="AG88" s="4">
        <f>$O$88*$AA$88</f>
        <v>1140.3380675714368</v>
      </c>
    </row>
    <row r="89" spans="1:33" ht="11.25" customHeight="1" x14ac:dyDescent="0.25">
      <c r="A89" s="3" t="s">
        <v>21</v>
      </c>
      <c r="B89" s="3" t="s">
        <v>35</v>
      </c>
      <c r="C89" s="3" t="s">
        <v>36</v>
      </c>
      <c r="D89" s="3" t="s">
        <v>39</v>
      </c>
      <c r="E89" s="3" t="s">
        <v>25</v>
      </c>
      <c r="F89" s="3" t="s">
        <v>25</v>
      </c>
      <c r="G89" s="3" t="s">
        <v>25</v>
      </c>
      <c r="H89" s="3" t="s">
        <v>37</v>
      </c>
      <c r="I89" s="6">
        <v>44743</v>
      </c>
      <c r="J89" s="4">
        <v>0</v>
      </c>
      <c r="K89" s="4">
        <v>0</v>
      </c>
      <c r="L89" s="4">
        <v>8.6159999999999997</v>
      </c>
      <c r="M89" s="4">
        <v>8.6159999999999997</v>
      </c>
      <c r="N89" s="4">
        <v>8.6159999999999997</v>
      </c>
      <c r="O89" s="4">
        <v>8.6159999999999997</v>
      </c>
      <c r="P89" s="4">
        <v>0</v>
      </c>
      <c r="Q89" s="3" t="s">
        <v>26</v>
      </c>
      <c r="R89" s="3">
        <v>0</v>
      </c>
      <c r="S89" s="4">
        <v>0</v>
      </c>
      <c r="T89" s="4">
        <v>33</v>
      </c>
      <c r="U89" s="4">
        <v>51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1936.94</v>
      </c>
      <c r="X89" s="4">
        <f>IF(ISERROR(VLOOKUP($U$89,'TAR FIN'!$A$1:$O$85,15,0)),0,VLOOKUP($U$89,'TAR FIN'!$A$1:$O$85,15,0))</f>
        <v>267.91000000000003</v>
      </c>
      <c r="Y89" s="4"/>
      <c r="Z89" s="4">
        <f ca="1">('TUSD BE'!$AM$11+'TUSD BF'!$AM$11+'TUSD CVA'!$AM$11)*1</f>
        <v>2207.1738391087315</v>
      </c>
      <c r="AA89" s="4">
        <f>('TE BE'!$AB$5+'TE BF'!$AB$5+'TE CVA'!$AB$5)*1</f>
        <v>185.42082399535556</v>
      </c>
      <c r="AB89" s="4">
        <f>$K$89*$V$89</f>
        <v>0</v>
      </c>
      <c r="AC89" s="4">
        <f>$M$89*$W$89</f>
        <v>16688.675039999998</v>
      </c>
      <c r="AD89" s="4">
        <f>$O$89*$X$89</f>
        <v>2308.3125600000003</v>
      </c>
      <c r="AE89" s="4">
        <f>$K$89*$Y$89</f>
        <v>0</v>
      </c>
      <c r="AF89" s="4">
        <f ca="1">$M$89*$Z$89</f>
        <v>19017.009797760831</v>
      </c>
      <c r="AG89" s="4">
        <f>$O$89*$AA$89</f>
        <v>1597.5858195439835</v>
      </c>
    </row>
    <row r="90" spans="1:33" ht="11.25" customHeight="1" x14ac:dyDescent="0.25">
      <c r="A90" s="3" t="s">
        <v>28</v>
      </c>
      <c r="B90" s="3" t="s">
        <v>35</v>
      </c>
      <c r="C90" s="3" t="s">
        <v>36</v>
      </c>
      <c r="D90" s="3" t="s">
        <v>39</v>
      </c>
      <c r="E90" s="3" t="s">
        <v>25</v>
      </c>
      <c r="F90" s="3" t="s">
        <v>25</v>
      </c>
      <c r="G90" s="3" t="s">
        <v>25</v>
      </c>
      <c r="H90" s="3" t="s">
        <v>37</v>
      </c>
      <c r="I90" s="6">
        <v>44743</v>
      </c>
      <c r="J90" s="4">
        <v>0</v>
      </c>
      <c r="K90" s="4">
        <v>0</v>
      </c>
      <c r="L90" s="4">
        <v>6.3049999999999997</v>
      </c>
      <c r="M90" s="4">
        <v>6.3049999999999997</v>
      </c>
      <c r="N90" s="4">
        <v>6.3049999999999997</v>
      </c>
      <c r="O90" s="4">
        <v>6.3049999999999997</v>
      </c>
      <c r="P90" s="4">
        <v>0</v>
      </c>
      <c r="Q90" s="3" t="s">
        <v>26</v>
      </c>
      <c r="R90" s="3">
        <v>0</v>
      </c>
      <c r="S90" s="4">
        <v>0</v>
      </c>
      <c r="T90" s="4">
        <v>33</v>
      </c>
      <c r="U90" s="4">
        <v>51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1936.94</v>
      </c>
      <c r="X90" s="4">
        <f>IF(ISERROR(VLOOKUP($U$90,'TAR FIN'!$A$1:$O$85,15,0)),0,VLOOKUP($U$90,'TAR FIN'!$A$1:$O$85,15,0))</f>
        <v>267.91000000000003</v>
      </c>
      <c r="Y90" s="4"/>
      <c r="Z90" s="4">
        <f ca="1">('TUSD BE'!$AM$11+'TUSD BF'!$AM$11+'TUSD CVA'!$AM$11)*1</f>
        <v>2207.1738391087315</v>
      </c>
      <c r="AA90" s="4">
        <f>('TE BE'!$AB$5+'TE BF'!$AB$5+'TE CVA'!$AB$5)*1</f>
        <v>185.42082399535556</v>
      </c>
      <c r="AB90" s="4">
        <f>$K$90*$V$90</f>
        <v>0</v>
      </c>
      <c r="AC90" s="4">
        <f>$M$90*$W$90</f>
        <v>12212.4067</v>
      </c>
      <c r="AD90" s="4">
        <f>$O$90*$X$90</f>
        <v>1689.17255</v>
      </c>
      <c r="AE90" s="4">
        <f>$K$90*$Y$90</f>
        <v>0</v>
      </c>
      <c r="AF90" s="4">
        <f ca="1">$M$90*$Z$90</f>
        <v>13916.231055580551</v>
      </c>
      <c r="AG90" s="4">
        <f>$O$90*$AA$90</f>
        <v>1169.0782952907168</v>
      </c>
    </row>
    <row r="91" spans="1:33" ht="11.25" customHeight="1" x14ac:dyDescent="0.25">
      <c r="A91" s="3" t="s">
        <v>21</v>
      </c>
      <c r="B91" s="3" t="s">
        <v>35</v>
      </c>
      <c r="C91" s="3" t="s">
        <v>36</v>
      </c>
      <c r="D91" s="3" t="s">
        <v>39</v>
      </c>
      <c r="E91" s="3" t="s">
        <v>25</v>
      </c>
      <c r="F91" s="3" t="s">
        <v>25</v>
      </c>
      <c r="G91" s="3" t="s">
        <v>25</v>
      </c>
      <c r="H91" s="3" t="s">
        <v>37</v>
      </c>
      <c r="I91" s="6">
        <v>44774</v>
      </c>
      <c r="J91" s="4">
        <v>0</v>
      </c>
      <c r="K91" s="4">
        <v>0</v>
      </c>
      <c r="L91" s="4">
        <v>10.728</v>
      </c>
      <c r="M91" s="4">
        <v>10.728</v>
      </c>
      <c r="N91" s="4">
        <v>10.728</v>
      </c>
      <c r="O91" s="4">
        <v>10.728</v>
      </c>
      <c r="P91" s="4">
        <v>0</v>
      </c>
      <c r="Q91" s="3" t="s">
        <v>26</v>
      </c>
      <c r="R91" s="3">
        <v>0</v>
      </c>
      <c r="S91" s="4">
        <v>0</v>
      </c>
      <c r="T91" s="4">
        <v>33</v>
      </c>
      <c r="U91" s="4">
        <v>51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1936.94</v>
      </c>
      <c r="X91" s="4">
        <f>IF(ISERROR(VLOOKUP($U$91,'TAR FIN'!$A$1:$O$85,15,0)),0,VLOOKUP($U$91,'TAR FIN'!$A$1:$O$85,15,0))</f>
        <v>267.91000000000003</v>
      </c>
      <c r="Y91" s="4"/>
      <c r="Z91" s="4">
        <f ca="1">('TUSD BE'!$AM$11+'TUSD BF'!$AM$11+'TUSD CVA'!$AM$11)*1</f>
        <v>2207.1738391087315</v>
      </c>
      <c r="AA91" s="4">
        <f>('TE BE'!$AB$5+'TE BF'!$AB$5+'TE CVA'!$AB$5)*1</f>
        <v>185.42082399535556</v>
      </c>
      <c r="AB91" s="4">
        <f>$K$91*$V$91</f>
        <v>0</v>
      </c>
      <c r="AC91" s="4">
        <f>$M$91*$W$91</f>
        <v>20779.492320000001</v>
      </c>
      <c r="AD91" s="4">
        <f>$O$91*$X$91</f>
        <v>2874.1384800000001</v>
      </c>
      <c r="AE91" s="4">
        <f>$K$91*$Y$91</f>
        <v>0</v>
      </c>
      <c r="AF91" s="4">
        <f ca="1">$M$91*$Z$91</f>
        <v>23678.56094595847</v>
      </c>
      <c r="AG91" s="4">
        <f>$O$91*$AA$91</f>
        <v>1989.1945998221745</v>
      </c>
    </row>
    <row r="92" spans="1:33" ht="11.25" customHeight="1" x14ac:dyDescent="0.25">
      <c r="A92" s="3" t="s">
        <v>28</v>
      </c>
      <c r="B92" s="3" t="s">
        <v>35</v>
      </c>
      <c r="C92" s="3" t="s">
        <v>36</v>
      </c>
      <c r="D92" s="3" t="s">
        <v>39</v>
      </c>
      <c r="E92" s="3" t="s">
        <v>25</v>
      </c>
      <c r="F92" s="3" t="s">
        <v>25</v>
      </c>
      <c r="G92" s="3" t="s">
        <v>25</v>
      </c>
      <c r="H92" s="3" t="s">
        <v>37</v>
      </c>
      <c r="I92" s="6">
        <v>44774</v>
      </c>
      <c r="J92" s="4">
        <v>0</v>
      </c>
      <c r="K92" s="4">
        <v>0</v>
      </c>
      <c r="L92" s="4">
        <v>6.524</v>
      </c>
      <c r="M92" s="4">
        <v>6.524</v>
      </c>
      <c r="N92" s="4">
        <v>6.524</v>
      </c>
      <c r="O92" s="4">
        <v>6.524</v>
      </c>
      <c r="P92" s="4">
        <v>0</v>
      </c>
      <c r="Q92" s="3" t="s">
        <v>26</v>
      </c>
      <c r="R92" s="3">
        <v>0</v>
      </c>
      <c r="S92" s="4">
        <v>0</v>
      </c>
      <c r="T92" s="4">
        <v>33</v>
      </c>
      <c r="U92" s="4">
        <v>51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1936.94</v>
      </c>
      <c r="X92" s="4">
        <f>IF(ISERROR(VLOOKUP($U$92,'TAR FIN'!$A$1:$O$85,15,0)),0,VLOOKUP($U$92,'TAR FIN'!$A$1:$O$85,15,0))</f>
        <v>267.91000000000003</v>
      </c>
      <c r="Y92" s="4"/>
      <c r="Z92" s="4">
        <f ca="1">('TUSD BE'!$AM$11+'TUSD BF'!$AM$11+'TUSD CVA'!$AM$11)*1</f>
        <v>2207.1738391087315</v>
      </c>
      <c r="AA92" s="4">
        <f>('TE BE'!$AB$5+'TE BF'!$AB$5+'TE CVA'!$AB$5)*1</f>
        <v>185.42082399535556</v>
      </c>
      <c r="AB92" s="4">
        <f>$K$92*$V$92</f>
        <v>0</v>
      </c>
      <c r="AC92" s="4">
        <f>$M$92*$W$92</f>
        <v>12636.59656</v>
      </c>
      <c r="AD92" s="4">
        <f>$O$92*$X$92</f>
        <v>1747.8448400000002</v>
      </c>
      <c r="AE92" s="4">
        <f>$K$92*$Y$92</f>
        <v>0</v>
      </c>
      <c r="AF92" s="4">
        <f ca="1">$M$92*$Z$92</f>
        <v>14399.602126345364</v>
      </c>
      <c r="AG92" s="4">
        <f>$O$92*$AA$92</f>
        <v>1209.6854557456998</v>
      </c>
    </row>
    <row r="93" spans="1:33" ht="11.25" customHeight="1" x14ac:dyDescent="0.25">
      <c r="A93" s="3" t="s">
        <v>21</v>
      </c>
      <c r="B93" s="3" t="s">
        <v>35</v>
      </c>
      <c r="C93" s="3" t="s">
        <v>36</v>
      </c>
      <c r="D93" s="3" t="s">
        <v>34</v>
      </c>
      <c r="E93" s="3" t="s">
        <v>25</v>
      </c>
      <c r="F93" s="3" t="s">
        <v>55</v>
      </c>
      <c r="G93" s="3" t="s">
        <v>25</v>
      </c>
      <c r="H93" s="3" t="s">
        <v>38</v>
      </c>
      <c r="I93" s="6">
        <v>44440</v>
      </c>
      <c r="J93" s="4">
        <v>0</v>
      </c>
      <c r="K93" s="4">
        <v>0</v>
      </c>
      <c r="L93" s="4">
        <v>257.48399999999998</v>
      </c>
      <c r="M93" s="4">
        <v>257.48399999999998</v>
      </c>
      <c r="N93" s="4">
        <v>0</v>
      </c>
      <c r="O93" s="4">
        <v>0</v>
      </c>
      <c r="P93" s="4">
        <v>0</v>
      </c>
      <c r="Q93" s="3" t="s">
        <v>56</v>
      </c>
      <c r="R93" s="3">
        <v>0</v>
      </c>
      <c r="S93" s="4">
        <v>0</v>
      </c>
      <c r="T93" s="4">
        <v>15</v>
      </c>
      <c r="U93" s="4">
        <v>0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56.92</v>
      </c>
      <c r="X93" s="4">
        <f>IF(ISERROR(VLOOKUP($U$93,'TAR FIN'!$A$1:$O$85,15,0)),0,VLOOKUP($U$93,'TAR FIN'!$A$1:$O$85,15,0))</f>
        <v>0</v>
      </c>
      <c r="Y93" s="4"/>
      <c r="Z93" s="4">
        <f ca="1">('TUSD BE'!$AM$12+'TUSD BF'!$AM$12+'TUSD CVA'!$AM$12)*1</f>
        <v>100.14715657738388</v>
      </c>
      <c r="AA93" s="4"/>
      <c r="AB93" s="4">
        <f>$K$93*$V$93</f>
        <v>0</v>
      </c>
      <c r="AC93" s="4">
        <f>$M$93*$W$93</f>
        <v>14655.98928</v>
      </c>
      <c r="AD93" s="4">
        <f>$O$93*$X$93</f>
        <v>0</v>
      </c>
      <c r="AE93" s="4">
        <f>$K$93*$Y$93</f>
        <v>0</v>
      </c>
      <c r="AF93" s="4">
        <f ca="1">$M$93*$Z$93</f>
        <v>25786.29046417111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35</v>
      </c>
      <c r="C94" s="3" t="s">
        <v>36</v>
      </c>
      <c r="D94" s="3" t="s">
        <v>34</v>
      </c>
      <c r="E94" s="3" t="s">
        <v>25</v>
      </c>
      <c r="F94" s="3" t="s">
        <v>55</v>
      </c>
      <c r="G94" s="3" t="s">
        <v>25</v>
      </c>
      <c r="H94" s="3" t="s">
        <v>38</v>
      </c>
      <c r="I94" s="6">
        <v>44470</v>
      </c>
      <c r="J94" s="4">
        <v>0</v>
      </c>
      <c r="K94" s="4">
        <v>0</v>
      </c>
      <c r="L94" s="4">
        <v>278.851</v>
      </c>
      <c r="M94" s="4">
        <v>278.851</v>
      </c>
      <c r="N94" s="4">
        <v>0</v>
      </c>
      <c r="O94" s="4">
        <v>0</v>
      </c>
      <c r="P94" s="4">
        <v>0</v>
      </c>
      <c r="Q94" s="3" t="s">
        <v>56</v>
      </c>
      <c r="R94" s="3">
        <v>0</v>
      </c>
      <c r="S94" s="4">
        <v>0</v>
      </c>
      <c r="T94" s="4">
        <v>15</v>
      </c>
      <c r="U94" s="4">
        <v>0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56.92</v>
      </c>
      <c r="X94" s="4">
        <f>IF(ISERROR(VLOOKUP($U$94,'TAR FIN'!$A$1:$O$85,15,0)),0,VLOOKUP($U$94,'TAR FIN'!$A$1:$O$85,15,0))</f>
        <v>0</v>
      </c>
      <c r="Y94" s="4"/>
      <c r="Z94" s="4">
        <f ca="1">('TUSD BE'!$AM$12+'TUSD BF'!$AM$12+'TUSD CVA'!$AM$12)*1</f>
        <v>100.14715657738388</v>
      </c>
      <c r="AA94" s="4"/>
      <c r="AB94" s="4">
        <f>$K$94*$V$94</f>
        <v>0</v>
      </c>
      <c r="AC94" s="4">
        <f>$M$94*$W$94</f>
        <v>15872.198920000001</v>
      </c>
      <c r="AD94" s="4">
        <f>$O$94*$X$94</f>
        <v>0</v>
      </c>
      <c r="AE94" s="4">
        <f>$K$94*$Y$94</f>
        <v>0</v>
      </c>
      <c r="AF94" s="4">
        <f ca="1">$M$94*$Z$94</f>
        <v>27926.134758760072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35</v>
      </c>
      <c r="C95" s="3" t="s">
        <v>36</v>
      </c>
      <c r="D95" s="3" t="s">
        <v>34</v>
      </c>
      <c r="E95" s="3" t="s">
        <v>25</v>
      </c>
      <c r="F95" s="3" t="s">
        <v>55</v>
      </c>
      <c r="G95" s="3" t="s">
        <v>25</v>
      </c>
      <c r="H95" s="3" t="s">
        <v>38</v>
      </c>
      <c r="I95" s="6">
        <v>44501</v>
      </c>
      <c r="J95" s="4">
        <v>0</v>
      </c>
      <c r="K95" s="4">
        <v>0</v>
      </c>
      <c r="L95" s="4">
        <v>274.83199999999999</v>
      </c>
      <c r="M95" s="4">
        <v>274.83199999999999</v>
      </c>
      <c r="N95" s="4">
        <v>0</v>
      </c>
      <c r="O95" s="4">
        <v>0</v>
      </c>
      <c r="P95" s="4">
        <v>0</v>
      </c>
      <c r="Q95" s="3" t="s">
        <v>56</v>
      </c>
      <c r="R95" s="3">
        <v>0</v>
      </c>
      <c r="S95" s="4">
        <v>0</v>
      </c>
      <c r="T95" s="4">
        <v>15</v>
      </c>
      <c r="U95" s="4">
        <v>0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56.92</v>
      </c>
      <c r="X95" s="4">
        <f>IF(ISERROR(VLOOKUP($U$95,'TAR FIN'!$A$1:$O$85,15,0)),0,VLOOKUP($U$95,'TAR FIN'!$A$1:$O$85,15,0))</f>
        <v>0</v>
      </c>
      <c r="Y95" s="4"/>
      <c r="Z95" s="4">
        <f ca="1">('TUSD BE'!$AM$12+'TUSD BF'!$AM$12+'TUSD CVA'!$AM$12)*1</f>
        <v>100.14715657738388</v>
      </c>
      <c r="AA95" s="4"/>
      <c r="AB95" s="4">
        <f>$K$95*$V$95</f>
        <v>0</v>
      </c>
      <c r="AC95" s="4">
        <f>$M$95*$W$95</f>
        <v>15643.43744</v>
      </c>
      <c r="AD95" s="4">
        <f>$O$95*$X$95</f>
        <v>0</v>
      </c>
      <c r="AE95" s="4">
        <f>$K$95*$Y$95</f>
        <v>0</v>
      </c>
      <c r="AF95" s="4">
        <f ca="1">$M$95*$Z$95</f>
        <v>27523.643336475565</v>
      </c>
      <c r="AG95" s="4">
        <f>$O$95*$AA$95</f>
        <v>0</v>
      </c>
    </row>
    <row r="96" spans="1:33" ht="11.25" customHeight="1" x14ac:dyDescent="0.25">
      <c r="A96" s="3" t="s">
        <v>21</v>
      </c>
      <c r="B96" s="3" t="s">
        <v>35</v>
      </c>
      <c r="C96" s="3" t="s">
        <v>36</v>
      </c>
      <c r="D96" s="3" t="s">
        <v>34</v>
      </c>
      <c r="E96" s="3" t="s">
        <v>25</v>
      </c>
      <c r="F96" s="3" t="s">
        <v>55</v>
      </c>
      <c r="G96" s="3" t="s">
        <v>25</v>
      </c>
      <c r="H96" s="3" t="s">
        <v>38</v>
      </c>
      <c r="I96" s="6">
        <v>44531</v>
      </c>
      <c r="J96" s="4">
        <v>0</v>
      </c>
      <c r="K96" s="4">
        <v>0</v>
      </c>
      <c r="L96" s="4">
        <v>208.74100000000001</v>
      </c>
      <c r="M96" s="4">
        <v>208.74100000000001</v>
      </c>
      <c r="N96" s="4">
        <v>0</v>
      </c>
      <c r="O96" s="4">
        <v>0</v>
      </c>
      <c r="P96" s="4">
        <v>0</v>
      </c>
      <c r="Q96" s="3" t="s">
        <v>56</v>
      </c>
      <c r="R96" s="3">
        <v>0</v>
      </c>
      <c r="S96" s="4">
        <v>0</v>
      </c>
      <c r="T96" s="4">
        <v>15</v>
      </c>
      <c r="U96" s="4">
        <v>0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56.92</v>
      </c>
      <c r="X96" s="4">
        <f>IF(ISERROR(VLOOKUP($U$96,'TAR FIN'!$A$1:$O$85,15,0)),0,VLOOKUP($U$96,'TAR FIN'!$A$1:$O$85,15,0))</f>
        <v>0</v>
      </c>
      <c r="Y96" s="4"/>
      <c r="Z96" s="4">
        <f ca="1">('TUSD BE'!$AM$12+'TUSD BF'!$AM$12+'TUSD CVA'!$AM$12)*1</f>
        <v>100.14715657738388</v>
      </c>
      <c r="AA96" s="4"/>
      <c r="AB96" s="4">
        <f>$K$96*$V$96</f>
        <v>0</v>
      </c>
      <c r="AC96" s="4">
        <f>$M$96*$W$96</f>
        <v>11881.53772</v>
      </c>
      <c r="AD96" s="4">
        <f>$O$96*$X$96</f>
        <v>0</v>
      </c>
      <c r="AE96" s="4">
        <f>$K$96*$Y$96</f>
        <v>0</v>
      </c>
      <c r="AF96" s="4">
        <f ca="1">$M$96*$Z$96</f>
        <v>20904.817611119692</v>
      </c>
      <c r="AG96" s="4">
        <f>$O$96*$AA$96</f>
        <v>0</v>
      </c>
    </row>
    <row r="97" spans="1:33" ht="11.25" customHeight="1" x14ac:dyDescent="0.25">
      <c r="A97" s="3" t="s">
        <v>21</v>
      </c>
      <c r="B97" s="3" t="s">
        <v>35</v>
      </c>
      <c r="C97" s="3" t="s">
        <v>36</v>
      </c>
      <c r="D97" s="3" t="s">
        <v>34</v>
      </c>
      <c r="E97" s="3" t="s">
        <v>25</v>
      </c>
      <c r="F97" s="3" t="s">
        <v>55</v>
      </c>
      <c r="G97" s="3" t="s">
        <v>25</v>
      </c>
      <c r="H97" s="3" t="s">
        <v>38</v>
      </c>
      <c r="I97" s="6">
        <v>44562</v>
      </c>
      <c r="J97" s="4">
        <v>0</v>
      </c>
      <c r="K97" s="4">
        <v>0</v>
      </c>
      <c r="L97" s="4">
        <v>280.149</v>
      </c>
      <c r="M97" s="4">
        <v>280.149</v>
      </c>
      <c r="N97" s="4">
        <v>0</v>
      </c>
      <c r="O97" s="4">
        <v>0</v>
      </c>
      <c r="P97" s="4">
        <v>0</v>
      </c>
      <c r="Q97" s="3" t="s">
        <v>56</v>
      </c>
      <c r="R97" s="3">
        <v>0</v>
      </c>
      <c r="S97" s="4">
        <v>0</v>
      </c>
      <c r="T97" s="4">
        <v>15</v>
      </c>
      <c r="U97" s="4">
        <v>0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56.92</v>
      </c>
      <c r="X97" s="4">
        <f>IF(ISERROR(VLOOKUP($U$97,'TAR FIN'!$A$1:$O$85,15,0)),0,VLOOKUP($U$97,'TAR FIN'!$A$1:$O$85,15,0))</f>
        <v>0</v>
      </c>
      <c r="Y97" s="4"/>
      <c r="Z97" s="4">
        <f ca="1">('TUSD BE'!$AM$12+'TUSD BF'!$AM$12+'TUSD CVA'!$AM$12)*1</f>
        <v>100.14715657738388</v>
      </c>
      <c r="AA97" s="4"/>
      <c r="AB97" s="4">
        <f>$K$97*$V$97</f>
        <v>0</v>
      </c>
      <c r="AC97" s="4">
        <f>$M$97*$W$97</f>
        <v>15946.08108</v>
      </c>
      <c r="AD97" s="4">
        <f>$O$97*$X$97</f>
        <v>0</v>
      </c>
      <c r="AE97" s="4">
        <f>$K$97*$Y$97</f>
        <v>0</v>
      </c>
      <c r="AF97" s="4">
        <f ca="1">$M$97*$Z$97</f>
        <v>28056.125767997517</v>
      </c>
      <c r="AG97" s="4">
        <f>$O$97*$AA$97</f>
        <v>0</v>
      </c>
    </row>
    <row r="98" spans="1:33" ht="11.25" customHeight="1" x14ac:dyDescent="0.25">
      <c r="A98" s="3" t="s">
        <v>21</v>
      </c>
      <c r="B98" s="3" t="s">
        <v>35</v>
      </c>
      <c r="C98" s="3" t="s">
        <v>36</v>
      </c>
      <c r="D98" s="3" t="s">
        <v>34</v>
      </c>
      <c r="E98" s="3" t="s">
        <v>25</v>
      </c>
      <c r="F98" s="3" t="s">
        <v>55</v>
      </c>
      <c r="G98" s="3" t="s">
        <v>25</v>
      </c>
      <c r="H98" s="3" t="s">
        <v>38</v>
      </c>
      <c r="I98" s="6">
        <v>44593</v>
      </c>
      <c r="J98" s="4">
        <v>0</v>
      </c>
      <c r="K98" s="4">
        <v>0</v>
      </c>
      <c r="L98" s="4">
        <v>295.05799999999999</v>
      </c>
      <c r="M98" s="4">
        <v>295.05799999999999</v>
      </c>
      <c r="N98" s="4">
        <v>0</v>
      </c>
      <c r="O98" s="4">
        <v>0</v>
      </c>
      <c r="P98" s="4">
        <v>0</v>
      </c>
      <c r="Q98" s="3" t="s">
        <v>56</v>
      </c>
      <c r="R98" s="3">
        <v>0</v>
      </c>
      <c r="S98" s="4">
        <v>0</v>
      </c>
      <c r="T98" s="4">
        <v>15</v>
      </c>
      <c r="U98" s="4">
        <v>0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56.92</v>
      </c>
      <c r="X98" s="4">
        <f>IF(ISERROR(VLOOKUP($U$98,'TAR FIN'!$A$1:$O$85,15,0)),0,VLOOKUP($U$98,'TAR FIN'!$A$1:$O$85,15,0))</f>
        <v>0</v>
      </c>
      <c r="Y98" s="4"/>
      <c r="Z98" s="4">
        <f ca="1">('TUSD BE'!$AM$12+'TUSD BF'!$AM$12+'TUSD CVA'!$AM$12)*1</f>
        <v>100.14715657738388</v>
      </c>
      <c r="AA98" s="4"/>
      <c r="AB98" s="4">
        <f>$K$98*$V$98</f>
        <v>0</v>
      </c>
      <c r="AC98" s="4">
        <f>$M$98*$W$98</f>
        <v>16794.701359999999</v>
      </c>
      <c r="AD98" s="4">
        <f>$O$98*$X$98</f>
        <v>0</v>
      </c>
      <c r="AE98" s="4">
        <f>$K$98*$Y$98</f>
        <v>0</v>
      </c>
      <c r="AF98" s="4">
        <f ca="1">$M$98*$Z$98</f>
        <v>29549.219725409734</v>
      </c>
      <c r="AG98" s="4">
        <f>$O$98*$AA$98</f>
        <v>0</v>
      </c>
    </row>
    <row r="99" spans="1:33" ht="11.25" customHeight="1" x14ac:dyDescent="0.25">
      <c r="A99" s="3" t="s">
        <v>21</v>
      </c>
      <c r="B99" s="3" t="s">
        <v>35</v>
      </c>
      <c r="C99" s="3" t="s">
        <v>36</v>
      </c>
      <c r="D99" s="3" t="s">
        <v>34</v>
      </c>
      <c r="E99" s="3" t="s">
        <v>25</v>
      </c>
      <c r="F99" s="3" t="s">
        <v>55</v>
      </c>
      <c r="G99" s="3" t="s">
        <v>25</v>
      </c>
      <c r="H99" s="3" t="s">
        <v>38</v>
      </c>
      <c r="I99" s="6">
        <v>44621</v>
      </c>
      <c r="J99" s="4">
        <v>0</v>
      </c>
      <c r="K99" s="4">
        <v>0</v>
      </c>
      <c r="L99" s="4">
        <v>336.435</v>
      </c>
      <c r="M99" s="4">
        <v>336.435</v>
      </c>
      <c r="N99" s="4">
        <v>0</v>
      </c>
      <c r="O99" s="4">
        <v>0</v>
      </c>
      <c r="P99" s="4">
        <v>0</v>
      </c>
      <c r="Q99" s="3" t="s">
        <v>56</v>
      </c>
      <c r="R99" s="3">
        <v>0</v>
      </c>
      <c r="S99" s="4">
        <v>0</v>
      </c>
      <c r="T99" s="4">
        <v>15</v>
      </c>
      <c r="U99" s="4">
        <v>0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56.92</v>
      </c>
      <c r="X99" s="4">
        <f>IF(ISERROR(VLOOKUP($U$99,'TAR FIN'!$A$1:$O$85,15,0)),0,VLOOKUP($U$99,'TAR FIN'!$A$1:$O$85,15,0))</f>
        <v>0</v>
      </c>
      <c r="Y99" s="4"/>
      <c r="Z99" s="4">
        <f ca="1">('TUSD BE'!$AM$12+'TUSD BF'!$AM$12+'TUSD CVA'!$AM$12)*1</f>
        <v>100.14715657738388</v>
      </c>
      <c r="AA99" s="4"/>
      <c r="AB99" s="4">
        <f>$K$99*$V$99</f>
        <v>0</v>
      </c>
      <c r="AC99" s="4">
        <f>$M$99*$W$99</f>
        <v>19149.8802</v>
      </c>
      <c r="AD99" s="4">
        <f>$O$99*$X$99</f>
        <v>0</v>
      </c>
      <c r="AE99" s="4">
        <f>$K$99*$Y$99</f>
        <v>0</v>
      </c>
      <c r="AF99" s="4">
        <f ca="1">$M$99*$Z$99</f>
        <v>33693.008623112146</v>
      </c>
      <c r="AG99" s="4">
        <f>$O$99*$AA$99</f>
        <v>0</v>
      </c>
    </row>
    <row r="100" spans="1:33" ht="11.25" customHeight="1" x14ac:dyDescent="0.25">
      <c r="A100" s="3" t="s">
        <v>21</v>
      </c>
      <c r="B100" s="3" t="s">
        <v>35</v>
      </c>
      <c r="C100" s="3" t="s">
        <v>36</v>
      </c>
      <c r="D100" s="3" t="s">
        <v>34</v>
      </c>
      <c r="E100" s="3" t="s">
        <v>25</v>
      </c>
      <c r="F100" s="3" t="s">
        <v>55</v>
      </c>
      <c r="G100" s="3" t="s">
        <v>25</v>
      </c>
      <c r="H100" s="3" t="s">
        <v>38</v>
      </c>
      <c r="I100" s="6">
        <v>44652</v>
      </c>
      <c r="J100" s="4">
        <v>0</v>
      </c>
      <c r="K100" s="4">
        <v>0</v>
      </c>
      <c r="L100" s="4">
        <v>330.31299999999999</v>
      </c>
      <c r="M100" s="4">
        <v>330.31299999999999</v>
      </c>
      <c r="N100" s="4">
        <v>0</v>
      </c>
      <c r="O100" s="4">
        <v>0</v>
      </c>
      <c r="P100" s="4">
        <v>0</v>
      </c>
      <c r="Q100" s="3" t="s">
        <v>56</v>
      </c>
      <c r="R100" s="3">
        <v>0</v>
      </c>
      <c r="S100" s="4">
        <v>0</v>
      </c>
      <c r="T100" s="4">
        <v>15</v>
      </c>
      <c r="U100" s="4">
        <v>0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56.92</v>
      </c>
      <c r="X100" s="4">
        <f>IF(ISERROR(VLOOKUP($U$100,'TAR FIN'!$A$1:$O$85,15,0)),0,VLOOKUP($U$100,'TAR FIN'!$A$1:$O$85,15,0))</f>
        <v>0</v>
      </c>
      <c r="Y100" s="4"/>
      <c r="Z100" s="4">
        <f ca="1">('TUSD BE'!$AM$12+'TUSD BF'!$AM$12+'TUSD CVA'!$AM$12)*1</f>
        <v>100.14715657738388</v>
      </c>
      <c r="AA100" s="4"/>
      <c r="AB100" s="4">
        <f>$K$100*$V$100</f>
        <v>0</v>
      </c>
      <c r="AC100" s="4">
        <f>$M$100*$W$100</f>
        <v>18801.415959999998</v>
      </c>
      <c r="AD100" s="4">
        <f>$O$100*$X$100</f>
        <v>0</v>
      </c>
      <c r="AE100" s="4">
        <f>$K$100*$Y$100</f>
        <v>0</v>
      </c>
      <c r="AF100" s="4">
        <f ca="1">$M$100*$Z$100</f>
        <v>33079.907730545397</v>
      </c>
      <c r="AG100" s="4">
        <f>$O$100*$AA$100</f>
        <v>0</v>
      </c>
    </row>
    <row r="101" spans="1:33" ht="11.25" customHeight="1" x14ac:dyDescent="0.25">
      <c r="A101" s="3" t="s">
        <v>21</v>
      </c>
      <c r="B101" s="3" t="s">
        <v>35</v>
      </c>
      <c r="C101" s="3" t="s">
        <v>36</v>
      </c>
      <c r="D101" s="3" t="s">
        <v>34</v>
      </c>
      <c r="E101" s="3" t="s">
        <v>25</v>
      </c>
      <c r="F101" s="3" t="s">
        <v>55</v>
      </c>
      <c r="G101" s="3" t="s">
        <v>25</v>
      </c>
      <c r="H101" s="3" t="s">
        <v>38</v>
      </c>
      <c r="I101" s="6">
        <v>44682</v>
      </c>
      <c r="J101" s="4">
        <v>0</v>
      </c>
      <c r="K101" s="4">
        <v>0</v>
      </c>
      <c r="L101" s="4">
        <v>425.762</v>
      </c>
      <c r="M101" s="4">
        <v>425.762</v>
      </c>
      <c r="N101" s="4">
        <v>0</v>
      </c>
      <c r="O101" s="4">
        <v>0</v>
      </c>
      <c r="P101" s="4">
        <v>0</v>
      </c>
      <c r="Q101" s="3" t="s">
        <v>56</v>
      </c>
      <c r="R101" s="3">
        <v>0</v>
      </c>
      <c r="S101" s="4">
        <v>0</v>
      </c>
      <c r="T101" s="4">
        <v>15</v>
      </c>
      <c r="U101" s="4">
        <v>0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56.92</v>
      </c>
      <c r="X101" s="4">
        <f>IF(ISERROR(VLOOKUP($U$101,'TAR FIN'!$A$1:$O$85,15,0)),0,VLOOKUP($U$101,'TAR FIN'!$A$1:$O$85,15,0))</f>
        <v>0</v>
      </c>
      <c r="Y101" s="4"/>
      <c r="Z101" s="4">
        <f ca="1">('TUSD BE'!$AM$12+'TUSD BF'!$AM$12+'TUSD CVA'!$AM$12)*1</f>
        <v>100.14715657738388</v>
      </c>
      <c r="AA101" s="4"/>
      <c r="AB101" s="4">
        <f>$K$101*$V$101</f>
        <v>0</v>
      </c>
      <c r="AC101" s="4">
        <f>$M$101*$W$101</f>
        <v>24234.373040000002</v>
      </c>
      <c r="AD101" s="4">
        <f>$O$101*$X$101</f>
        <v>0</v>
      </c>
      <c r="AE101" s="4">
        <f>$K$101*$Y$101</f>
        <v>0</v>
      </c>
      <c r="AF101" s="4">
        <f ca="1">$M$101*$Z$101</f>
        <v>42638.853678700114</v>
      </c>
      <c r="AG101" s="4">
        <f>$O$101*$AA$101</f>
        <v>0</v>
      </c>
    </row>
    <row r="102" spans="1:33" ht="11.25" customHeight="1" x14ac:dyDescent="0.25">
      <c r="A102" s="3" t="s">
        <v>21</v>
      </c>
      <c r="B102" s="3" t="s">
        <v>35</v>
      </c>
      <c r="C102" s="3" t="s">
        <v>36</v>
      </c>
      <c r="D102" s="3" t="s">
        <v>34</v>
      </c>
      <c r="E102" s="3" t="s">
        <v>25</v>
      </c>
      <c r="F102" s="3" t="s">
        <v>55</v>
      </c>
      <c r="G102" s="3" t="s">
        <v>25</v>
      </c>
      <c r="H102" s="3" t="s">
        <v>38</v>
      </c>
      <c r="I102" s="6">
        <v>44713</v>
      </c>
      <c r="J102" s="4">
        <v>0</v>
      </c>
      <c r="K102" s="4">
        <v>0</v>
      </c>
      <c r="L102" s="4">
        <v>229.59800000000001</v>
      </c>
      <c r="M102" s="4">
        <v>229.59800000000001</v>
      </c>
      <c r="N102" s="4">
        <v>0</v>
      </c>
      <c r="O102" s="4">
        <v>0</v>
      </c>
      <c r="P102" s="4">
        <v>0</v>
      </c>
      <c r="Q102" s="3" t="s">
        <v>56</v>
      </c>
      <c r="R102" s="3">
        <v>0</v>
      </c>
      <c r="S102" s="4">
        <v>0</v>
      </c>
      <c r="T102" s="4">
        <v>15</v>
      </c>
      <c r="U102" s="4">
        <v>0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56.92</v>
      </c>
      <c r="X102" s="4">
        <f>IF(ISERROR(VLOOKUP($U$102,'TAR FIN'!$A$1:$O$85,15,0)),0,VLOOKUP($U$102,'TAR FIN'!$A$1:$O$85,15,0))</f>
        <v>0</v>
      </c>
      <c r="Y102" s="4"/>
      <c r="Z102" s="4">
        <f ca="1">('TUSD BE'!$AM$12+'TUSD BF'!$AM$12+'TUSD CVA'!$AM$12)*1</f>
        <v>100.14715657738388</v>
      </c>
      <c r="AA102" s="4"/>
      <c r="AB102" s="4">
        <f>$K$102*$V$102</f>
        <v>0</v>
      </c>
      <c r="AC102" s="4">
        <f>$M$102*$W$102</f>
        <v>13068.71816</v>
      </c>
      <c r="AD102" s="4">
        <f>$O$102*$X$102</f>
        <v>0</v>
      </c>
      <c r="AE102" s="4">
        <f>$K$102*$Y$102</f>
        <v>0</v>
      </c>
      <c r="AF102" s="4">
        <f ca="1">$M$102*$Z$102</f>
        <v>22993.586855854184</v>
      </c>
      <c r="AG102" s="4">
        <f>$O$102*$AA$102</f>
        <v>0</v>
      </c>
    </row>
    <row r="103" spans="1:33" ht="11.25" customHeight="1" x14ac:dyDescent="0.25">
      <c r="A103" s="3" t="s">
        <v>21</v>
      </c>
      <c r="B103" s="3" t="s">
        <v>35</v>
      </c>
      <c r="C103" s="3" t="s">
        <v>36</v>
      </c>
      <c r="D103" s="3" t="s">
        <v>34</v>
      </c>
      <c r="E103" s="3" t="s">
        <v>25</v>
      </c>
      <c r="F103" s="3" t="s">
        <v>55</v>
      </c>
      <c r="G103" s="3" t="s">
        <v>25</v>
      </c>
      <c r="H103" s="3" t="s">
        <v>38</v>
      </c>
      <c r="I103" s="6">
        <v>44743</v>
      </c>
      <c r="J103" s="4">
        <v>0</v>
      </c>
      <c r="K103" s="4">
        <v>0</v>
      </c>
      <c r="L103" s="4">
        <v>248.518</v>
      </c>
      <c r="M103" s="4">
        <v>248.518</v>
      </c>
      <c r="N103" s="4">
        <v>0</v>
      </c>
      <c r="O103" s="4">
        <v>0</v>
      </c>
      <c r="P103" s="4">
        <v>0</v>
      </c>
      <c r="Q103" s="3" t="s">
        <v>56</v>
      </c>
      <c r="R103" s="3">
        <v>0</v>
      </c>
      <c r="S103" s="4">
        <v>0</v>
      </c>
      <c r="T103" s="4">
        <v>15</v>
      </c>
      <c r="U103" s="4">
        <v>0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56.92</v>
      </c>
      <c r="X103" s="4">
        <f>IF(ISERROR(VLOOKUP($U$103,'TAR FIN'!$A$1:$O$85,15,0)),0,VLOOKUP($U$103,'TAR FIN'!$A$1:$O$85,15,0))</f>
        <v>0</v>
      </c>
      <c r="Y103" s="4"/>
      <c r="Z103" s="4">
        <f ca="1">('TUSD BE'!$AM$12+'TUSD BF'!$AM$12+'TUSD CVA'!$AM$12)*1</f>
        <v>100.14715657738388</v>
      </c>
      <c r="AA103" s="4"/>
      <c r="AB103" s="4">
        <f>$K$103*$V$103</f>
        <v>0</v>
      </c>
      <c r="AC103" s="4">
        <f>$M$103*$W$103</f>
        <v>14145.644560000001</v>
      </c>
      <c r="AD103" s="4">
        <f>$O$103*$X$103</f>
        <v>0</v>
      </c>
      <c r="AE103" s="4">
        <f>$K$103*$Y$103</f>
        <v>0</v>
      </c>
      <c r="AF103" s="4">
        <f ca="1">$M$103*$Z$103</f>
        <v>24888.371058298289</v>
      </c>
      <c r="AG103" s="4">
        <f>$O$103*$AA$103</f>
        <v>0</v>
      </c>
    </row>
    <row r="104" spans="1:33" ht="11.25" customHeight="1" x14ac:dyDescent="0.25">
      <c r="A104" s="3" t="s">
        <v>21</v>
      </c>
      <c r="B104" s="3" t="s">
        <v>35</v>
      </c>
      <c r="C104" s="3" t="s">
        <v>36</v>
      </c>
      <c r="D104" s="3" t="s">
        <v>34</v>
      </c>
      <c r="E104" s="3" t="s">
        <v>25</v>
      </c>
      <c r="F104" s="3" t="s">
        <v>55</v>
      </c>
      <c r="G104" s="3" t="s">
        <v>25</v>
      </c>
      <c r="H104" s="3" t="s">
        <v>38</v>
      </c>
      <c r="I104" s="6">
        <v>44774</v>
      </c>
      <c r="J104" s="4">
        <v>0</v>
      </c>
      <c r="K104" s="4">
        <v>0</v>
      </c>
      <c r="L104" s="4">
        <v>309.75900000000001</v>
      </c>
      <c r="M104" s="4">
        <v>309.75900000000001</v>
      </c>
      <c r="N104" s="4">
        <v>0</v>
      </c>
      <c r="O104" s="4">
        <v>0</v>
      </c>
      <c r="P104" s="4">
        <v>0</v>
      </c>
      <c r="Q104" s="3" t="s">
        <v>56</v>
      </c>
      <c r="R104" s="3">
        <v>0</v>
      </c>
      <c r="S104" s="4">
        <v>0</v>
      </c>
      <c r="T104" s="4">
        <v>15</v>
      </c>
      <c r="U104" s="4">
        <v>0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56.92</v>
      </c>
      <c r="X104" s="4">
        <f>IF(ISERROR(VLOOKUP($U$104,'TAR FIN'!$A$1:$O$85,15,0)),0,VLOOKUP($U$104,'TAR FIN'!$A$1:$O$85,15,0))</f>
        <v>0</v>
      </c>
      <c r="Y104" s="4"/>
      <c r="Z104" s="4">
        <f ca="1">('TUSD BE'!$AM$12+'TUSD BF'!$AM$12+'TUSD CVA'!$AM$12)*1</f>
        <v>100.14715657738388</v>
      </c>
      <c r="AA104" s="4"/>
      <c r="AB104" s="4">
        <f>$K$104*$V$104</f>
        <v>0</v>
      </c>
      <c r="AC104" s="4">
        <f>$M$104*$W$104</f>
        <v>17631.48228</v>
      </c>
      <c r="AD104" s="4">
        <f>$O$104*$X$104</f>
        <v>0</v>
      </c>
      <c r="AE104" s="4">
        <f>$K$104*$Y$104</f>
        <v>0</v>
      </c>
      <c r="AF104" s="4">
        <f ca="1">$M$104*$Z$104</f>
        <v>31021.483074253854</v>
      </c>
      <c r="AG104" s="4">
        <f>$O$104*$AA$104</f>
        <v>0</v>
      </c>
    </row>
    <row r="105" spans="1:33" ht="11.25" customHeight="1" x14ac:dyDescent="0.25">
      <c r="A105" s="3" t="s">
        <v>21</v>
      </c>
      <c r="B105" s="3" t="s">
        <v>35</v>
      </c>
      <c r="C105" s="3" t="s">
        <v>36</v>
      </c>
      <c r="D105" s="3" t="s">
        <v>34</v>
      </c>
      <c r="E105" s="3" t="s">
        <v>25</v>
      </c>
      <c r="F105" s="3" t="s">
        <v>55</v>
      </c>
      <c r="G105" s="3" t="s">
        <v>25</v>
      </c>
      <c r="H105" s="3" t="s">
        <v>25</v>
      </c>
      <c r="I105" s="6">
        <v>44440</v>
      </c>
      <c r="J105" s="4">
        <v>540</v>
      </c>
      <c r="K105" s="4">
        <v>270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3" t="s">
        <v>56</v>
      </c>
      <c r="R105" s="3">
        <v>0</v>
      </c>
      <c r="S105" s="4">
        <v>22</v>
      </c>
      <c r="T105" s="4">
        <v>0</v>
      </c>
      <c r="U105" s="4">
        <v>0</v>
      </c>
      <c r="V105" s="4">
        <f>IF(ISERROR(VLOOKUP($S$105,'TAR FIN'!$A$1:$O$85,15,0)),0,VLOOKUP($S$105,'TAR FIN'!$A$1:$O$85,15,0))</f>
        <v>22.34</v>
      </c>
      <c r="W105" s="4">
        <f>IF(ISERROR(VLOOKUP($T$105,'TAR FIN'!$A$1:$O$85,15,0)),0,VLOOKUP($T$105,'TAR FIN'!$A$1:$O$85,15,0))</f>
        <v>0</v>
      </c>
      <c r="X105" s="4">
        <f>IF(ISERROR(VLOOKUP($U$105,'TAR FIN'!$A$1:$O$85,15,0)),0,VLOOKUP($U$105,'TAR FIN'!$A$1:$O$85,15,0))</f>
        <v>0</v>
      </c>
      <c r="Y105" s="4">
        <f ca="1">('TUSD BE'!$AM$10+'TUSD BF'!$AM$10+'TUSD CVA'!$AM$10)*1</f>
        <v>28.040256427516418</v>
      </c>
      <c r="Z105" s="4"/>
      <c r="AA105" s="4"/>
      <c r="AB105" s="4">
        <f>$K$105*$V$105</f>
        <v>6031.8</v>
      </c>
      <c r="AC105" s="4">
        <f>$M$105*$W$105</f>
        <v>0</v>
      </c>
      <c r="AD105" s="4">
        <f>$O$105*$X$105</f>
        <v>0</v>
      </c>
      <c r="AE105" s="4">
        <f ca="1">$K$105*$Y$105</f>
        <v>7570.8692354294326</v>
      </c>
      <c r="AF105" s="4">
        <f>$M$105*$Z$105</f>
        <v>0</v>
      </c>
      <c r="AG105" s="4">
        <f>$O$105*$AA$105</f>
        <v>0</v>
      </c>
    </row>
    <row r="106" spans="1:33" ht="11.25" customHeight="1" x14ac:dyDescent="0.25">
      <c r="A106" s="3" t="s">
        <v>21</v>
      </c>
      <c r="B106" s="3" t="s">
        <v>35</v>
      </c>
      <c r="C106" s="3" t="s">
        <v>36</v>
      </c>
      <c r="D106" s="3" t="s">
        <v>34</v>
      </c>
      <c r="E106" s="3" t="s">
        <v>25</v>
      </c>
      <c r="F106" s="3" t="s">
        <v>55</v>
      </c>
      <c r="G106" s="3" t="s">
        <v>25</v>
      </c>
      <c r="H106" s="3" t="s">
        <v>25</v>
      </c>
      <c r="I106" s="6">
        <v>44470</v>
      </c>
      <c r="J106" s="4">
        <v>540</v>
      </c>
      <c r="K106" s="4">
        <v>270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3" t="s">
        <v>56</v>
      </c>
      <c r="R106" s="3">
        <v>0</v>
      </c>
      <c r="S106" s="4">
        <v>22</v>
      </c>
      <c r="T106" s="4">
        <v>0</v>
      </c>
      <c r="U106" s="4">
        <v>0</v>
      </c>
      <c r="V106" s="4">
        <f>IF(ISERROR(VLOOKUP($S$106,'TAR FIN'!$A$1:$O$85,15,0)),0,VLOOKUP($S$106,'TAR FIN'!$A$1:$O$85,15,0))</f>
        <v>22.34</v>
      </c>
      <c r="W106" s="4">
        <f>IF(ISERROR(VLOOKUP($T$106,'TAR FIN'!$A$1:$O$85,15,0)),0,VLOOKUP($T$106,'TAR FIN'!$A$1:$O$85,15,0))</f>
        <v>0</v>
      </c>
      <c r="X106" s="4">
        <f>IF(ISERROR(VLOOKUP($U$106,'TAR FIN'!$A$1:$O$85,15,0)),0,VLOOKUP($U$106,'TAR FIN'!$A$1:$O$85,15,0))</f>
        <v>0</v>
      </c>
      <c r="Y106" s="4">
        <f ca="1">('TUSD BE'!$AM$10+'TUSD BF'!$AM$10+'TUSD CVA'!$AM$10)*1</f>
        <v>28.040256427516418</v>
      </c>
      <c r="Z106" s="4"/>
      <c r="AA106" s="4"/>
      <c r="AB106" s="4">
        <f>$K$106*$V$106</f>
        <v>6031.8</v>
      </c>
      <c r="AC106" s="4">
        <f>$M$106*$W$106</f>
        <v>0</v>
      </c>
      <c r="AD106" s="4">
        <f>$O$106*$X$106</f>
        <v>0</v>
      </c>
      <c r="AE106" s="4">
        <f ca="1">$K$106*$Y$106</f>
        <v>7570.8692354294326</v>
      </c>
      <c r="AF106" s="4">
        <f>$M$106*$Z$106</f>
        <v>0</v>
      </c>
      <c r="AG106" s="4">
        <f>$O$106*$AA$106</f>
        <v>0</v>
      </c>
    </row>
    <row r="107" spans="1:33" ht="11.25" customHeight="1" x14ac:dyDescent="0.25">
      <c r="A107" s="3" t="s">
        <v>21</v>
      </c>
      <c r="B107" s="3" t="s">
        <v>35</v>
      </c>
      <c r="C107" s="3" t="s">
        <v>36</v>
      </c>
      <c r="D107" s="3" t="s">
        <v>34</v>
      </c>
      <c r="E107" s="3" t="s">
        <v>25</v>
      </c>
      <c r="F107" s="3" t="s">
        <v>55</v>
      </c>
      <c r="G107" s="3" t="s">
        <v>25</v>
      </c>
      <c r="H107" s="3" t="s">
        <v>25</v>
      </c>
      <c r="I107" s="6">
        <v>44501</v>
      </c>
      <c r="J107" s="4">
        <v>540</v>
      </c>
      <c r="K107" s="4">
        <v>270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3" t="s">
        <v>56</v>
      </c>
      <c r="R107" s="3">
        <v>0</v>
      </c>
      <c r="S107" s="4">
        <v>22</v>
      </c>
      <c r="T107" s="4">
        <v>0</v>
      </c>
      <c r="U107" s="4">
        <v>0</v>
      </c>
      <c r="V107" s="4">
        <f>IF(ISERROR(VLOOKUP($S$107,'TAR FIN'!$A$1:$O$85,15,0)),0,VLOOKUP($S$107,'TAR FIN'!$A$1:$O$85,15,0))</f>
        <v>22.34</v>
      </c>
      <c r="W107" s="4">
        <f>IF(ISERROR(VLOOKUP($T$107,'TAR FIN'!$A$1:$O$85,15,0)),0,VLOOKUP($T$107,'TAR FIN'!$A$1:$O$85,15,0))</f>
        <v>0</v>
      </c>
      <c r="X107" s="4">
        <f>IF(ISERROR(VLOOKUP($U$107,'TAR FIN'!$A$1:$O$85,15,0)),0,VLOOKUP($U$107,'TAR FIN'!$A$1:$O$85,15,0))</f>
        <v>0</v>
      </c>
      <c r="Y107" s="4">
        <f ca="1">('TUSD BE'!$AM$10+'TUSD BF'!$AM$10+'TUSD CVA'!$AM$10)*1</f>
        <v>28.040256427516418</v>
      </c>
      <c r="Z107" s="4"/>
      <c r="AA107" s="4"/>
      <c r="AB107" s="4">
        <f>$K$107*$V$107</f>
        <v>6031.8</v>
      </c>
      <c r="AC107" s="4">
        <f>$M$107*$W$107</f>
        <v>0</v>
      </c>
      <c r="AD107" s="4">
        <f>$O$107*$X$107</f>
        <v>0</v>
      </c>
      <c r="AE107" s="4">
        <f ca="1">$K$107*$Y$107</f>
        <v>7570.8692354294326</v>
      </c>
      <c r="AF107" s="4">
        <f>$M$107*$Z$107</f>
        <v>0</v>
      </c>
      <c r="AG107" s="4">
        <f>$O$107*$AA$107</f>
        <v>0</v>
      </c>
    </row>
    <row r="108" spans="1:33" ht="11.25" customHeight="1" x14ac:dyDescent="0.25">
      <c r="A108" s="3" t="s">
        <v>21</v>
      </c>
      <c r="B108" s="3" t="s">
        <v>35</v>
      </c>
      <c r="C108" s="3" t="s">
        <v>36</v>
      </c>
      <c r="D108" s="3" t="s">
        <v>34</v>
      </c>
      <c r="E108" s="3" t="s">
        <v>25</v>
      </c>
      <c r="F108" s="3" t="s">
        <v>55</v>
      </c>
      <c r="G108" s="3" t="s">
        <v>25</v>
      </c>
      <c r="H108" s="3" t="s">
        <v>25</v>
      </c>
      <c r="I108" s="6">
        <v>44531</v>
      </c>
      <c r="J108" s="4">
        <v>554</v>
      </c>
      <c r="K108" s="4">
        <v>277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3" t="s">
        <v>56</v>
      </c>
      <c r="R108" s="3">
        <v>0</v>
      </c>
      <c r="S108" s="4">
        <v>22</v>
      </c>
      <c r="T108" s="4">
        <v>0</v>
      </c>
      <c r="U108" s="4">
        <v>0</v>
      </c>
      <c r="V108" s="4">
        <f>IF(ISERROR(VLOOKUP($S$108,'TAR FIN'!$A$1:$O$85,15,0)),0,VLOOKUP($S$108,'TAR FIN'!$A$1:$O$85,15,0))</f>
        <v>22.34</v>
      </c>
      <c r="W108" s="4">
        <f>IF(ISERROR(VLOOKUP($T$108,'TAR FIN'!$A$1:$O$85,15,0)),0,VLOOKUP($T$108,'TAR FIN'!$A$1:$O$85,15,0))</f>
        <v>0</v>
      </c>
      <c r="X108" s="4">
        <f>IF(ISERROR(VLOOKUP($U$108,'TAR FIN'!$A$1:$O$85,15,0)),0,VLOOKUP($U$108,'TAR FIN'!$A$1:$O$85,15,0))</f>
        <v>0</v>
      </c>
      <c r="Y108" s="4">
        <f ca="1">('TUSD BE'!$AM$10+'TUSD BF'!$AM$10+'TUSD CVA'!$AM$10)*1</f>
        <v>28.040256427516418</v>
      </c>
      <c r="Z108" s="4"/>
      <c r="AA108" s="4"/>
      <c r="AB108" s="4">
        <f>$K$108*$V$108</f>
        <v>6188.18</v>
      </c>
      <c r="AC108" s="4">
        <f>$M$108*$W$108</f>
        <v>0</v>
      </c>
      <c r="AD108" s="4">
        <f>$O$108*$X$108</f>
        <v>0</v>
      </c>
      <c r="AE108" s="4">
        <f ca="1">$K$108*$Y$108</f>
        <v>7767.1510304220474</v>
      </c>
      <c r="AF108" s="4">
        <f>$M$108*$Z$108</f>
        <v>0</v>
      </c>
      <c r="AG108" s="4">
        <f>$O$108*$AA$108</f>
        <v>0</v>
      </c>
    </row>
    <row r="109" spans="1:33" ht="11.25" customHeight="1" x14ac:dyDescent="0.25">
      <c r="A109" s="3" t="s">
        <v>21</v>
      </c>
      <c r="B109" s="3" t="s">
        <v>35</v>
      </c>
      <c r="C109" s="3" t="s">
        <v>36</v>
      </c>
      <c r="D109" s="3" t="s">
        <v>34</v>
      </c>
      <c r="E109" s="3" t="s">
        <v>25</v>
      </c>
      <c r="F109" s="3" t="s">
        <v>55</v>
      </c>
      <c r="G109" s="3" t="s">
        <v>25</v>
      </c>
      <c r="H109" s="3" t="s">
        <v>25</v>
      </c>
      <c r="I109" s="6">
        <v>44562</v>
      </c>
      <c r="J109" s="4">
        <v>561</v>
      </c>
      <c r="K109" s="4">
        <v>280.5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3" t="s">
        <v>56</v>
      </c>
      <c r="R109" s="3">
        <v>0</v>
      </c>
      <c r="S109" s="4">
        <v>22</v>
      </c>
      <c r="T109" s="4">
        <v>0</v>
      </c>
      <c r="U109" s="4">
        <v>0</v>
      </c>
      <c r="V109" s="4">
        <f>IF(ISERROR(VLOOKUP($S$109,'TAR FIN'!$A$1:$O$85,15,0)),0,VLOOKUP($S$109,'TAR FIN'!$A$1:$O$85,15,0))</f>
        <v>22.34</v>
      </c>
      <c r="W109" s="4">
        <f>IF(ISERROR(VLOOKUP($T$109,'TAR FIN'!$A$1:$O$85,15,0)),0,VLOOKUP($T$109,'TAR FIN'!$A$1:$O$85,15,0))</f>
        <v>0</v>
      </c>
      <c r="X109" s="4">
        <f>IF(ISERROR(VLOOKUP($U$109,'TAR FIN'!$A$1:$O$85,15,0)),0,VLOOKUP($U$109,'TAR FIN'!$A$1:$O$85,15,0))</f>
        <v>0</v>
      </c>
      <c r="Y109" s="4">
        <f ca="1">('TUSD BE'!$AM$10+'TUSD BF'!$AM$10+'TUSD CVA'!$AM$10)*1</f>
        <v>28.040256427516418</v>
      </c>
      <c r="Z109" s="4"/>
      <c r="AA109" s="4"/>
      <c r="AB109" s="4">
        <f>$K$109*$V$109</f>
        <v>6266.37</v>
      </c>
      <c r="AC109" s="4">
        <f>$M$109*$W$109</f>
        <v>0</v>
      </c>
      <c r="AD109" s="4">
        <f>$O$109*$X$109</f>
        <v>0</v>
      </c>
      <c r="AE109" s="4">
        <f ca="1">$K$109*$Y$109</f>
        <v>7865.2919279183552</v>
      </c>
      <c r="AF109" s="4">
        <f>$M$109*$Z$109</f>
        <v>0</v>
      </c>
      <c r="AG109" s="4">
        <f>$O$109*$AA$109</f>
        <v>0</v>
      </c>
    </row>
    <row r="110" spans="1:33" ht="11.25" customHeight="1" x14ac:dyDescent="0.25">
      <c r="A110" s="3" t="s">
        <v>21</v>
      </c>
      <c r="B110" s="3" t="s">
        <v>35</v>
      </c>
      <c r="C110" s="3" t="s">
        <v>36</v>
      </c>
      <c r="D110" s="3" t="s">
        <v>34</v>
      </c>
      <c r="E110" s="3" t="s">
        <v>25</v>
      </c>
      <c r="F110" s="3" t="s">
        <v>55</v>
      </c>
      <c r="G110" s="3" t="s">
        <v>25</v>
      </c>
      <c r="H110" s="3" t="s">
        <v>25</v>
      </c>
      <c r="I110" s="6">
        <v>44593</v>
      </c>
      <c r="J110" s="4">
        <v>598</v>
      </c>
      <c r="K110" s="4">
        <v>299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3" t="s">
        <v>56</v>
      </c>
      <c r="R110" s="3">
        <v>0</v>
      </c>
      <c r="S110" s="4">
        <v>22</v>
      </c>
      <c r="T110" s="4">
        <v>0</v>
      </c>
      <c r="U110" s="4">
        <v>0</v>
      </c>
      <c r="V110" s="4">
        <f>IF(ISERROR(VLOOKUP($S$110,'TAR FIN'!$A$1:$O$85,15,0)),0,VLOOKUP($S$110,'TAR FIN'!$A$1:$O$85,15,0))</f>
        <v>22.34</v>
      </c>
      <c r="W110" s="4">
        <f>IF(ISERROR(VLOOKUP($T$110,'TAR FIN'!$A$1:$O$85,15,0)),0,VLOOKUP($T$110,'TAR FIN'!$A$1:$O$85,15,0))</f>
        <v>0</v>
      </c>
      <c r="X110" s="4">
        <f>IF(ISERROR(VLOOKUP($U$110,'TAR FIN'!$A$1:$O$85,15,0)),0,VLOOKUP($U$110,'TAR FIN'!$A$1:$O$85,15,0))</f>
        <v>0</v>
      </c>
      <c r="Y110" s="4">
        <f ca="1">('TUSD BE'!$AM$10+'TUSD BF'!$AM$10+'TUSD CVA'!$AM$10)*1</f>
        <v>28.040256427516418</v>
      </c>
      <c r="Z110" s="4"/>
      <c r="AA110" s="4"/>
      <c r="AB110" s="4">
        <f>$K$110*$V$110</f>
        <v>6679.66</v>
      </c>
      <c r="AC110" s="4">
        <f>$M$110*$W$110</f>
        <v>0</v>
      </c>
      <c r="AD110" s="4">
        <f>$O$110*$X$110</f>
        <v>0</v>
      </c>
      <c r="AE110" s="4">
        <f ca="1">$K$110*$Y$110</f>
        <v>8384.036671827409</v>
      </c>
      <c r="AF110" s="4">
        <f>$M$110*$Z$110</f>
        <v>0</v>
      </c>
      <c r="AG110" s="4">
        <f>$O$110*$AA$110</f>
        <v>0</v>
      </c>
    </row>
    <row r="111" spans="1:33" ht="11.25" customHeight="1" x14ac:dyDescent="0.25">
      <c r="A111" s="3" t="s">
        <v>21</v>
      </c>
      <c r="B111" s="3" t="s">
        <v>35</v>
      </c>
      <c r="C111" s="3" t="s">
        <v>36</v>
      </c>
      <c r="D111" s="3" t="s">
        <v>34</v>
      </c>
      <c r="E111" s="3" t="s">
        <v>25</v>
      </c>
      <c r="F111" s="3" t="s">
        <v>55</v>
      </c>
      <c r="G111" s="3" t="s">
        <v>25</v>
      </c>
      <c r="H111" s="3" t="s">
        <v>25</v>
      </c>
      <c r="I111" s="6">
        <v>44621</v>
      </c>
      <c r="J111" s="4">
        <v>601</v>
      </c>
      <c r="K111" s="4">
        <v>300.5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3" t="s">
        <v>56</v>
      </c>
      <c r="R111" s="3">
        <v>0</v>
      </c>
      <c r="S111" s="4">
        <v>22</v>
      </c>
      <c r="T111" s="4">
        <v>0</v>
      </c>
      <c r="U111" s="4">
        <v>0</v>
      </c>
      <c r="V111" s="4">
        <f>IF(ISERROR(VLOOKUP($S$111,'TAR FIN'!$A$1:$O$85,15,0)),0,VLOOKUP($S$111,'TAR FIN'!$A$1:$O$85,15,0))</f>
        <v>22.34</v>
      </c>
      <c r="W111" s="4">
        <f>IF(ISERROR(VLOOKUP($T$111,'TAR FIN'!$A$1:$O$85,15,0)),0,VLOOKUP($T$111,'TAR FIN'!$A$1:$O$85,15,0))</f>
        <v>0</v>
      </c>
      <c r="X111" s="4">
        <f>IF(ISERROR(VLOOKUP($U$111,'TAR FIN'!$A$1:$O$85,15,0)),0,VLOOKUP($U$111,'TAR FIN'!$A$1:$O$85,15,0))</f>
        <v>0</v>
      </c>
      <c r="Y111" s="4">
        <f ca="1">('TUSD BE'!$AM$10+'TUSD BF'!$AM$10+'TUSD CVA'!$AM$10)*1</f>
        <v>28.040256427516418</v>
      </c>
      <c r="Z111" s="4"/>
      <c r="AA111" s="4"/>
      <c r="AB111" s="4">
        <f>$K$111*$V$111</f>
        <v>6713.17</v>
      </c>
      <c r="AC111" s="4">
        <f>$M$111*$W$111</f>
        <v>0</v>
      </c>
      <c r="AD111" s="4">
        <f>$O$111*$X$111</f>
        <v>0</v>
      </c>
      <c r="AE111" s="4">
        <f ca="1">$K$111*$Y$111</f>
        <v>8426.0970564686831</v>
      </c>
      <c r="AF111" s="4">
        <f>$M$111*$Z$111</f>
        <v>0</v>
      </c>
      <c r="AG111" s="4">
        <f>$O$111*$AA$111</f>
        <v>0</v>
      </c>
    </row>
    <row r="112" spans="1:33" ht="11.25" customHeight="1" x14ac:dyDescent="0.25">
      <c r="A112" s="3" t="s">
        <v>21</v>
      </c>
      <c r="B112" s="3" t="s">
        <v>35</v>
      </c>
      <c r="C112" s="3" t="s">
        <v>36</v>
      </c>
      <c r="D112" s="3" t="s">
        <v>34</v>
      </c>
      <c r="E112" s="3" t="s">
        <v>25</v>
      </c>
      <c r="F112" s="3" t="s">
        <v>55</v>
      </c>
      <c r="G112" s="3" t="s">
        <v>25</v>
      </c>
      <c r="H112" s="3" t="s">
        <v>25</v>
      </c>
      <c r="I112" s="6">
        <v>44652</v>
      </c>
      <c r="J112" s="4">
        <v>605</v>
      </c>
      <c r="K112" s="4">
        <v>302.5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3" t="s">
        <v>56</v>
      </c>
      <c r="R112" s="3">
        <v>0</v>
      </c>
      <c r="S112" s="4">
        <v>22</v>
      </c>
      <c r="T112" s="4">
        <v>0</v>
      </c>
      <c r="U112" s="4">
        <v>0</v>
      </c>
      <c r="V112" s="4">
        <f>IF(ISERROR(VLOOKUP($S$112,'TAR FIN'!$A$1:$O$85,15,0)),0,VLOOKUP($S$112,'TAR FIN'!$A$1:$O$85,15,0))</f>
        <v>22.34</v>
      </c>
      <c r="W112" s="4">
        <f>IF(ISERROR(VLOOKUP($T$112,'TAR FIN'!$A$1:$O$85,15,0)),0,VLOOKUP($T$112,'TAR FIN'!$A$1:$O$85,15,0))</f>
        <v>0</v>
      </c>
      <c r="X112" s="4">
        <f>IF(ISERROR(VLOOKUP($U$112,'TAR FIN'!$A$1:$O$85,15,0)),0,VLOOKUP($U$112,'TAR FIN'!$A$1:$O$85,15,0))</f>
        <v>0</v>
      </c>
      <c r="Y112" s="4">
        <f ca="1">('TUSD BE'!$AM$10+'TUSD BF'!$AM$10+'TUSD CVA'!$AM$10)*1</f>
        <v>28.040256427516418</v>
      </c>
      <c r="Z112" s="4"/>
      <c r="AA112" s="4"/>
      <c r="AB112" s="4">
        <f>$K$112*$V$112</f>
        <v>6757.85</v>
      </c>
      <c r="AC112" s="4">
        <f>$M$112*$W$112</f>
        <v>0</v>
      </c>
      <c r="AD112" s="4">
        <f>$O$112*$X$112</f>
        <v>0</v>
      </c>
      <c r="AE112" s="4">
        <f ca="1">$K$112*$Y$112</f>
        <v>8482.1775693237159</v>
      </c>
      <c r="AF112" s="4">
        <f>$M$112*$Z$112</f>
        <v>0</v>
      </c>
      <c r="AG112" s="4">
        <f>$O$112*$AA$112</f>
        <v>0</v>
      </c>
    </row>
    <row r="113" spans="1:33" ht="11.25" customHeight="1" x14ac:dyDescent="0.25">
      <c r="A113" s="3" t="s">
        <v>21</v>
      </c>
      <c r="B113" s="3" t="s">
        <v>35</v>
      </c>
      <c r="C113" s="3" t="s">
        <v>36</v>
      </c>
      <c r="D113" s="3" t="s">
        <v>34</v>
      </c>
      <c r="E113" s="3" t="s">
        <v>25</v>
      </c>
      <c r="F113" s="3" t="s">
        <v>55</v>
      </c>
      <c r="G113" s="3" t="s">
        <v>25</v>
      </c>
      <c r="H113" s="3" t="s">
        <v>25</v>
      </c>
      <c r="I113" s="6">
        <v>44682</v>
      </c>
      <c r="J113" s="4">
        <v>1198</v>
      </c>
      <c r="K113" s="4">
        <v>599</v>
      </c>
      <c r="L113" s="4">
        <v>0</v>
      </c>
      <c r="M113" s="4">
        <v>0</v>
      </c>
      <c r="N113" s="4">
        <v>0</v>
      </c>
      <c r="O113" s="4">
        <v>0</v>
      </c>
      <c r="P113" s="4">
        <v>2</v>
      </c>
      <c r="Q113" s="3" t="s">
        <v>56</v>
      </c>
      <c r="R113" s="3">
        <v>0</v>
      </c>
      <c r="S113" s="4">
        <v>22</v>
      </c>
      <c r="T113" s="4">
        <v>0</v>
      </c>
      <c r="U113" s="4">
        <v>0</v>
      </c>
      <c r="V113" s="4">
        <f>IF(ISERROR(VLOOKUP($S$113,'TAR FIN'!$A$1:$O$85,15,0)),0,VLOOKUP($S$113,'TAR FIN'!$A$1:$O$85,15,0))</f>
        <v>22.34</v>
      </c>
      <c r="W113" s="4">
        <f>IF(ISERROR(VLOOKUP($T$113,'TAR FIN'!$A$1:$O$85,15,0)),0,VLOOKUP($T$113,'TAR FIN'!$A$1:$O$85,15,0))</f>
        <v>0</v>
      </c>
      <c r="X113" s="4">
        <f>IF(ISERROR(VLOOKUP($U$113,'TAR FIN'!$A$1:$O$85,15,0)),0,VLOOKUP($U$113,'TAR FIN'!$A$1:$O$85,15,0))</f>
        <v>0</v>
      </c>
      <c r="Y113" s="4">
        <f ca="1">('TUSD BE'!$AM$10+'TUSD BF'!$AM$10+'TUSD CVA'!$AM$10)*1</f>
        <v>28.040256427516418</v>
      </c>
      <c r="Z113" s="4"/>
      <c r="AA113" s="4"/>
      <c r="AB113" s="4">
        <f>$K$113*$V$113</f>
        <v>13381.66</v>
      </c>
      <c r="AC113" s="4">
        <f>$M$113*$W$113</f>
        <v>0</v>
      </c>
      <c r="AD113" s="4">
        <f>$O$113*$X$113</f>
        <v>0</v>
      </c>
      <c r="AE113" s="4">
        <f ca="1">$K$113*$Y$113</f>
        <v>16796.113600082335</v>
      </c>
      <c r="AF113" s="4">
        <f>$M$113*$Z$113</f>
        <v>0</v>
      </c>
      <c r="AG113" s="4">
        <f>$O$113*$AA$113</f>
        <v>0</v>
      </c>
    </row>
    <row r="114" spans="1:33" ht="11.25" customHeight="1" x14ac:dyDescent="0.25">
      <c r="A114" s="3" t="s">
        <v>21</v>
      </c>
      <c r="B114" s="3" t="s">
        <v>35</v>
      </c>
      <c r="C114" s="3" t="s">
        <v>36</v>
      </c>
      <c r="D114" s="3" t="s">
        <v>34</v>
      </c>
      <c r="E114" s="3" t="s">
        <v>25</v>
      </c>
      <c r="F114" s="3" t="s">
        <v>55</v>
      </c>
      <c r="G114" s="3" t="s">
        <v>25</v>
      </c>
      <c r="H114" s="3" t="s">
        <v>25</v>
      </c>
      <c r="I114" s="6">
        <v>44713</v>
      </c>
      <c r="J114" s="4">
        <v>1195</v>
      </c>
      <c r="K114" s="4">
        <v>597.5</v>
      </c>
      <c r="L114" s="4">
        <v>0</v>
      </c>
      <c r="M114" s="4">
        <v>0</v>
      </c>
      <c r="N114" s="4">
        <v>0</v>
      </c>
      <c r="O114" s="4">
        <v>0</v>
      </c>
      <c r="P114" s="4">
        <v>2</v>
      </c>
      <c r="Q114" s="3" t="s">
        <v>56</v>
      </c>
      <c r="R114" s="3">
        <v>0</v>
      </c>
      <c r="S114" s="4">
        <v>22</v>
      </c>
      <c r="T114" s="4">
        <v>0</v>
      </c>
      <c r="U114" s="4">
        <v>0</v>
      </c>
      <c r="V114" s="4">
        <f>IF(ISERROR(VLOOKUP($S$114,'TAR FIN'!$A$1:$O$85,15,0)),0,VLOOKUP($S$114,'TAR FIN'!$A$1:$O$85,15,0))</f>
        <v>22.34</v>
      </c>
      <c r="W114" s="4">
        <f>IF(ISERROR(VLOOKUP($T$114,'TAR FIN'!$A$1:$O$85,15,0)),0,VLOOKUP($T$114,'TAR FIN'!$A$1:$O$85,15,0))</f>
        <v>0</v>
      </c>
      <c r="X114" s="4">
        <f>IF(ISERROR(VLOOKUP($U$114,'TAR FIN'!$A$1:$O$85,15,0)),0,VLOOKUP($U$114,'TAR FIN'!$A$1:$O$85,15,0))</f>
        <v>0</v>
      </c>
      <c r="Y114" s="4">
        <f ca="1">('TUSD BE'!$AM$10+'TUSD BF'!$AM$10+'TUSD CVA'!$AM$10)*1</f>
        <v>28.040256427516418</v>
      </c>
      <c r="Z114" s="4"/>
      <c r="AA114" s="4"/>
      <c r="AB114" s="4">
        <f>$K$114*$V$114</f>
        <v>13348.15</v>
      </c>
      <c r="AC114" s="4">
        <f>$M$114*$W$114</f>
        <v>0</v>
      </c>
      <c r="AD114" s="4">
        <f>$O$114*$X$114</f>
        <v>0</v>
      </c>
      <c r="AE114" s="4">
        <f ca="1">$K$114*$Y$114</f>
        <v>16754.053215441061</v>
      </c>
      <c r="AF114" s="4">
        <f>$M$114*$Z$114</f>
        <v>0</v>
      </c>
      <c r="AG114" s="4">
        <f>$O$114*$AA$114</f>
        <v>0</v>
      </c>
    </row>
    <row r="115" spans="1:33" ht="11.25" customHeight="1" x14ac:dyDescent="0.25">
      <c r="A115" s="3" t="s">
        <v>21</v>
      </c>
      <c r="B115" s="3" t="s">
        <v>35</v>
      </c>
      <c r="C115" s="3" t="s">
        <v>36</v>
      </c>
      <c r="D115" s="3" t="s">
        <v>34</v>
      </c>
      <c r="E115" s="3" t="s">
        <v>25</v>
      </c>
      <c r="F115" s="3" t="s">
        <v>55</v>
      </c>
      <c r="G115" s="3" t="s">
        <v>25</v>
      </c>
      <c r="H115" s="3" t="s">
        <v>25</v>
      </c>
      <c r="I115" s="6">
        <v>44743</v>
      </c>
      <c r="J115" s="4">
        <v>1140</v>
      </c>
      <c r="K115" s="4">
        <v>570</v>
      </c>
      <c r="L115" s="4">
        <v>0</v>
      </c>
      <c r="M115" s="4">
        <v>0</v>
      </c>
      <c r="N115" s="4">
        <v>0</v>
      </c>
      <c r="O115" s="4">
        <v>0</v>
      </c>
      <c r="P115" s="4">
        <v>2</v>
      </c>
      <c r="Q115" s="3" t="s">
        <v>56</v>
      </c>
      <c r="R115" s="3">
        <v>0</v>
      </c>
      <c r="S115" s="4">
        <v>22</v>
      </c>
      <c r="T115" s="4">
        <v>0</v>
      </c>
      <c r="U115" s="4">
        <v>0</v>
      </c>
      <c r="V115" s="4">
        <f>IF(ISERROR(VLOOKUP($S$115,'TAR FIN'!$A$1:$O$85,15,0)),0,VLOOKUP($S$115,'TAR FIN'!$A$1:$O$85,15,0))</f>
        <v>22.34</v>
      </c>
      <c r="W115" s="4">
        <f>IF(ISERROR(VLOOKUP($T$115,'TAR FIN'!$A$1:$O$85,15,0)),0,VLOOKUP($T$115,'TAR FIN'!$A$1:$O$85,15,0))</f>
        <v>0</v>
      </c>
      <c r="X115" s="4">
        <f>IF(ISERROR(VLOOKUP($U$115,'TAR FIN'!$A$1:$O$85,15,0)),0,VLOOKUP($U$115,'TAR FIN'!$A$1:$O$85,15,0))</f>
        <v>0</v>
      </c>
      <c r="Y115" s="4">
        <f ca="1">('TUSD BE'!$AM$10+'TUSD BF'!$AM$10+'TUSD CVA'!$AM$10)*1</f>
        <v>28.040256427516418</v>
      </c>
      <c r="Z115" s="4"/>
      <c r="AA115" s="4"/>
      <c r="AB115" s="4">
        <f>$K$115*$V$115</f>
        <v>12733.8</v>
      </c>
      <c r="AC115" s="4">
        <f>$M$115*$W$115</f>
        <v>0</v>
      </c>
      <c r="AD115" s="4">
        <f>$O$115*$X$115</f>
        <v>0</v>
      </c>
      <c r="AE115" s="4">
        <f ca="1">$K$115*$Y$115</f>
        <v>15982.946163684359</v>
      </c>
      <c r="AF115" s="4">
        <f>$M$115*$Z$115</f>
        <v>0</v>
      </c>
      <c r="AG115" s="4">
        <f>$O$115*$AA$115</f>
        <v>0</v>
      </c>
    </row>
    <row r="116" spans="1:33" ht="11.25" customHeight="1" x14ac:dyDescent="0.25">
      <c r="A116" s="3" t="s">
        <v>21</v>
      </c>
      <c r="B116" s="3" t="s">
        <v>35</v>
      </c>
      <c r="C116" s="3" t="s">
        <v>36</v>
      </c>
      <c r="D116" s="3" t="s">
        <v>34</v>
      </c>
      <c r="E116" s="3" t="s">
        <v>25</v>
      </c>
      <c r="F116" s="3" t="s">
        <v>55</v>
      </c>
      <c r="G116" s="3" t="s">
        <v>25</v>
      </c>
      <c r="H116" s="3" t="s">
        <v>25</v>
      </c>
      <c r="I116" s="6">
        <v>44774</v>
      </c>
      <c r="J116" s="4">
        <v>1140</v>
      </c>
      <c r="K116" s="4">
        <v>570</v>
      </c>
      <c r="L116" s="4">
        <v>0</v>
      </c>
      <c r="M116" s="4">
        <v>0</v>
      </c>
      <c r="N116" s="4">
        <v>0</v>
      </c>
      <c r="O116" s="4">
        <v>0</v>
      </c>
      <c r="P116" s="4">
        <v>2</v>
      </c>
      <c r="Q116" s="3" t="s">
        <v>56</v>
      </c>
      <c r="R116" s="3">
        <v>0</v>
      </c>
      <c r="S116" s="4">
        <v>22</v>
      </c>
      <c r="T116" s="4">
        <v>0</v>
      </c>
      <c r="U116" s="4">
        <v>0</v>
      </c>
      <c r="V116" s="4">
        <f>IF(ISERROR(VLOOKUP($S$116,'TAR FIN'!$A$1:$O$85,15,0)),0,VLOOKUP($S$116,'TAR FIN'!$A$1:$O$85,15,0))</f>
        <v>22.34</v>
      </c>
      <c r="W116" s="4">
        <f>IF(ISERROR(VLOOKUP($T$116,'TAR FIN'!$A$1:$O$85,15,0)),0,VLOOKUP($T$116,'TAR FIN'!$A$1:$O$85,15,0))</f>
        <v>0</v>
      </c>
      <c r="X116" s="4">
        <f>IF(ISERROR(VLOOKUP($U$116,'TAR FIN'!$A$1:$O$85,15,0)),0,VLOOKUP($U$116,'TAR FIN'!$A$1:$O$85,15,0))</f>
        <v>0</v>
      </c>
      <c r="Y116" s="4">
        <f ca="1">('TUSD BE'!$AM$10+'TUSD BF'!$AM$10+'TUSD CVA'!$AM$10)*1</f>
        <v>28.040256427516418</v>
      </c>
      <c r="Z116" s="4"/>
      <c r="AA116" s="4"/>
      <c r="AB116" s="4">
        <f>$K$116*$V$116</f>
        <v>12733.8</v>
      </c>
      <c r="AC116" s="4">
        <f>$M$116*$W$116</f>
        <v>0</v>
      </c>
      <c r="AD116" s="4">
        <f>$O$116*$X$116</f>
        <v>0</v>
      </c>
      <c r="AE116" s="4">
        <f ca="1">$K$116*$Y$116</f>
        <v>15982.946163684359</v>
      </c>
      <c r="AF116" s="4">
        <f>$M$116*$Z$116</f>
        <v>0</v>
      </c>
      <c r="AG116" s="4">
        <f>$O$116*$AA$116</f>
        <v>0</v>
      </c>
    </row>
    <row r="117" spans="1:33" ht="11.25" customHeight="1" x14ac:dyDescent="0.25">
      <c r="A117" s="3" t="s">
        <v>21</v>
      </c>
      <c r="B117" s="3" t="s">
        <v>35</v>
      </c>
      <c r="C117" s="3" t="s">
        <v>36</v>
      </c>
      <c r="D117" s="3" t="s">
        <v>34</v>
      </c>
      <c r="E117" s="3" t="s">
        <v>25</v>
      </c>
      <c r="F117" s="3" t="s">
        <v>55</v>
      </c>
      <c r="G117" s="3" t="s">
        <v>25</v>
      </c>
      <c r="H117" s="3" t="s">
        <v>37</v>
      </c>
      <c r="I117" s="6">
        <v>44440</v>
      </c>
      <c r="J117" s="4">
        <v>0</v>
      </c>
      <c r="K117" s="4">
        <v>0</v>
      </c>
      <c r="L117" s="4">
        <v>23.035</v>
      </c>
      <c r="M117" s="4">
        <v>11.886060000000001</v>
      </c>
      <c r="N117" s="4">
        <v>0</v>
      </c>
      <c r="O117" s="4">
        <v>0</v>
      </c>
      <c r="P117" s="4">
        <v>0</v>
      </c>
      <c r="Q117" s="3" t="s">
        <v>56</v>
      </c>
      <c r="R117" s="3">
        <v>0</v>
      </c>
      <c r="S117" s="4">
        <v>0</v>
      </c>
      <c r="T117" s="4">
        <v>33</v>
      </c>
      <c r="U117" s="4">
        <v>0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1936.94</v>
      </c>
      <c r="X117" s="4">
        <f>IF(ISERROR(VLOOKUP($U$117,'TAR FIN'!$A$1:$O$85,15,0)),0,VLOOKUP($U$117,'TAR FIN'!$A$1:$O$85,15,0))</f>
        <v>0</v>
      </c>
      <c r="Y117" s="4"/>
      <c r="Z117" s="4">
        <f ca="1">('TUSD BE'!$AM$11+'TUSD BF'!$AM$11+'TUSD CVA'!$AM$11)*1</f>
        <v>2207.1738391087315</v>
      </c>
      <c r="AA117" s="4"/>
      <c r="AB117" s="4">
        <f>$K$117*$V$117</f>
        <v>0</v>
      </c>
      <c r="AC117" s="4">
        <f>$M$117*$W$117</f>
        <v>23022.585056400003</v>
      </c>
      <c r="AD117" s="4">
        <f>$O$117*$X$117</f>
        <v>0</v>
      </c>
      <c r="AE117" s="4">
        <f>$K$117*$Y$117</f>
        <v>0</v>
      </c>
      <c r="AF117" s="4">
        <f ca="1">$M$117*$Z$117</f>
        <v>26234.600682076729</v>
      </c>
      <c r="AG117" s="4">
        <f>$O$117*$AA$117</f>
        <v>0</v>
      </c>
    </row>
    <row r="118" spans="1:33" ht="11.25" customHeight="1" x14ac:dyDescent="0.25">
      <c r="A118" s="3" t="s">
        <v>21</v>
      </c>
      <c r="B118" s="3" t="s">
        <v>35</v>
      </c>
      <c r="C118" s="3" t="s">
        <v>36</v>
      </c>
      <c r="D118" s="3" t="s">
        <v>34</v>
      </c>
      <c r="E118" s="3" t="s">
        <v>25</v>
      </c>
      <c r="F118" s="3" t="s">
        <v>55</v>
      </c>
      <c r="G118" s="3" t="s">
        <v>25</v>
      </c>
      <c r="H118" s="3" t="s">
        <v>37</v>
      </c>
      <c r="I118" s="6">
        <v>44470</v>
      </c>
      <c r="J118" s="4">
        <v>0</v>
      </c>
      <c r="K118" s="4">
        <v>0</v>
      </c>
      <c r="L118" s="4">
        <v>24.352</v>
      </c>
      <c r="M118" s="4">
        <v>12.5339744</v>
      </c>
      <c r="N118" s="4">
        <v>0</v>
      </c>
      <c r="O118" s="4">
        <v>0</v>
      </c>
      <c r="P118" s="4">
        <v>0</v>
      </c>
      <c r="Q118" s="3" t="s">
        <v>56</v>
      </c>
      <c r="R118" s="3">
        <v>0</v>
      </c>
      <c r="S118" s="4">
        <v>0</v>
      </c>
      <c r="T118" s="4">
        <v>33</v>
      </c>
      <c r="U118" s="4">
        <v>0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1936.94</v>
      </c>
      <c r="X118" s="4">
        <f>IF(ISERROR(VLOOKUP($U$118,'TAR FIN'!$A$1:$O$85,15,0)),0,VLOOKUP($U$118,'TAR FIN'!$A$1:$O$85,15,0))</f>
        <v>0</v>
      </c>
      <c r="Y118" s="4"/>
      <c r="Z118" s="4">
        <f ca="1">('TUSD BE'!$AM$11+'TUSD BF'!$AM$11+'TUSD CVA'!$AM$11)*1</f>
        <v>2207.1738391087315</v>
      </c>
      <c r="AA118" s="4"/>
      <c r="AB118" s="4">
        <f>$K$118*$V$118</f>
        <v>0</v>
      </c>
      <c r="AC118" s="4">
        <f>$M$118*$W$118</f>
        <v>24277.556374336</v>
      </c>
      <c r="AD118" s="4">
        <f>$O$118*$X$118</f>
        <v>0</v>
      </c>
      <c r="AE118" s="4">
        <f>$K$118*$Y$118</f>
        <v>0</v>
      </c>
      <c r="AF118" s="4">
        <f ca="1">$M$118*$Z$118</f>
        <v>27664.66039573856</v>
      </c>
      <c r="AG118" s="4">
        <f>$O$118*$AA$118</f>
        <v>0</v>
      </c>
    </row>
    <row r="119" spans="1:33" ht="11.25" customHeight="1" x14ac:dyDescent="0.25">
      <c r="A119" s="3" t="s">
        <v>21</v>
      </c>
      <c r="B119" s="3" t="s">
        <v>35</v>
      </c>
      <c r="C119" s="3" t="s">
        <v>36</v>
      </c>
      <c r="D119" s="3" t="s">
        <v>34</v>
      </c>
      <c r="E119" s="3" t="s">
        <v>25</v>
      </c>
      <c r="F119" s="3" t="s">
        <v>55</v>
      </c>
      <c r="G119" s="3" t="s">
        <v>25</v>
      </c>
      <c r="H119" s="3" t="s">
        <v>37</v>
      </c>
      <c r="I119" s="6">
        <v>44501</v>
      </c>
      <c r="J119" s="4">
        <v>0</v>
      </c>
      <c r="K119" s="4">
        <v>0</v>
      </c>
      <c r="L119" s="4">
        <v>24.995999999999999</v>
      </c>
      <c r="M119" s="4">
        <v>12.865441199999999</v>
      </c>
      <c r="N119" s="4">
        <v>0</v>
      </c>
      <c r="O119" s="4">
        <v>0</v>
      </c>
      <c r="P119" s="4">
        <v>0</v>
      </c>
      <c r="Q119" s="3" t="s">
        <v>56</v>
      </c>
      <c r="R119" s="3">
        <v>0</v>
      </c>
      <c r="S119" s="4">
        <v>0</v>
      </c>
      <c r="T119" s="4">
        <v>33</v>
      </c>
      <c r="U119" s="4">
        <v>0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1936.94</v>
      </c>
      <c r="X119" s="4">
        <f>IF(ISERROR(VLOOKUP($U$119,'TAR FIN'!$A$1:$O$85,15,0)),0,VLOOKUP($U$119,'TAR FIN'!$A$1:$O$85,15,0))</f>
        <v>0</v>
      </c>
      <c r="Y119" s="4"/>
      <c r="Z119" s="4">
        <f ca="1">('TUSD BE'!$AM$11+'TUSD BF'!$AM$11+'TUSD CVA'!$AM$11)*1</f>
        <v>2207.1738391087315</v>
      </c>
      <c r="AA119" s="4"/>
      <c r="AB119" s="4">
        <f>$K$119*$V$119</f>
        <v>0</v>
      </c>
      <c r="AC119" s="4">
        <f>$M$119*$W$119</f>
        <v>24919.587677928001</v>
      </c>
      <c r="AD119" s="4">
        <f>$O$119*$X$119</f>
        <v>0</v>
      </c>
      <c r="AE119" s="4">
        <f>$K$119*$Y$119</f>
        <v>0</v>
      </c>
      <c r="AF119" s="4">
        <f ca="1">$M$119*$Z$119</f>
        <v>28396.265245231643</v>
      </c>
      <c r="AG119" s="4">
        <f>$O$119*$AA$119</f>
        <v>0</v>
      </c>
    </row>
    <row r="120" spans="1:33" ht="11.25" customHeight="1" x14ac:dyDescent="0.25">
      <c r="A120" s="3" t="s">
        <v>21</v>
      </c>
      <c r="B120" s="3" t="s">
        <v>35</v>
      </c>
      <c r="C120" s="3" t="s">
        <v>36</v>
      </c>
      <c r="D120" s="3" t="s">
        <v>34</v>
      </c>
      <c r="E120" s="3" t="s">
        <v>25</v>
      </c>
      <c r="F120" s="3" t="s">
        <v>55</v>
      </c>
      <c r="G120" s="3" t="s">
        <v>25</v>
      </c>
      <c r="H120" s="3" t="s">
        <v>37</v>
      </c>
      <c r="I120" s="6">
        <v>44531</v>
      </c>
      <c r="J120" s="4">
        <v>0</v>
      </c>
      <c r="K120" s="4">
        <v>0</v>
      </c>
      <c r="L120" s="4">
        <v>19.295999999999999</v>
      </c>
      <c r="M120" s="4">
        <v>9.9316511999999992</v>
      </c>
      <c r="N120" s="4">
        <v>0</v>
      </c>
      <c r="O120" s="4">
        <v>0</v>
      </c>
      <c r="P120" s="4">
        <v>0</v>
      </c>
      <c r="Q120" s="3" t="s">
        <v>56</v>
      </c>
      <c r="R120" s="3">
        <v>0</v>
      </c>
      <c r="S120" s="4">
        <v>0</v>
      </c>
      <c r="T120" s="4">
        <v>33</v>
      </c>
      <c r="U120" s="4">
        <v>0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1936.94</v>
      </c>
      <c r="X120" s="4">
        <f>IF(ISERROR(VLOOKUP($U$120,'TAR FIN'!$A$1:$O$85,15,0)),0,VLOOKUP($U$120,'TAR FIN'!$A$1:$O$85,15,0))</f>
        <v>0</v>
      </c>
      <c r="Y120" s="4"/>
      <c r="Z120" s="4">
        <f ca="1">('TUSD BE'!$AM$11+'TUSD BF'!$AM$11+'TUSD CVA'!$AM$11)*1</f>
        <v>2207.1738391087315</v>
      </c>
      <c r="AA120" s="4"/>
      <c r="AB120" s="4">
        <f>$K$120*$V$120</f>
        <v>0</v>
      </c>
      <c r="AC120" s="4">
        <f>$M$120*$W$120</f>
        <v>19237.012475328</v>
      </c>
      <c r="AD120" s="4">
        <f>$O$120*$X$120</f>
        <v>0</v>
      </c>
      <c r="AE120" s="4">
        <f>$K$120*$Y$120</f>
        <v>0</v>
      </c>
      <c r="AF120" s="4">
        <f ca="1">$M$120*$Z$120</f>
        <v>21920.88070779284</v>
      </c>
      <c r="AG120" s="4">
        <f>$O$120*$AA$120</f>
        <v>0</v>
      </c>
    </row>
    <row r="121" spans="1:33" ht="11.25" customHeight="1" x14ac:dyDescent="0.25">
      <c r="A121" s="3" t="s">
        <v>21</v>
      </c>
      <c r="B121" s="3" t="s">
        <v>35</v>
      </c>
      <c r="C121" s="3" t="s">
        <v>36</v>
      </c>
      <c r="D121" s="3" t="s">
        <v>34</v>
      </c>
      <c r="E121" s="3" t="s">
        <v>25</v>
      </c>
      <c r="F121" s="3" t="s">
        <v>55</v>
      </c>
      <c r="G121" s="3" t="s">
        <v>25</v>
      </c>
      <c r="H121" s="3" t="s">
        <v>37</v>
      </c>
      <c r="I121" s="6">
        <v>44562</v>
      </c>
      <c r="J121" s="4">
        <v>0</v>
      </c>
      <c r="K121" s="4">
        <v>0</v>
      </c>
      <c r="L121" s="4">
        <v>27.260999999999999</v>
      </c>
      <c r="M121" s="4">
        <v>14.031236699999999</v>
      </c>
      <c r="N121" s="4">
        <v>0</v>
      </c>
      <c r="O121" s="4">
        <v>0</v>
      </c>
      <c r="P121" s="4">
        <v>0</v>
      </c>
      <c r="Q121" s="3" t="s">
        <v>56</v>
      </c>
      <c r="R121" s="3">
        <v>0</v>
      </c>
      <c r="S121" s="4">
        <v>0</v>
      </c>
      <c r="T121" s="4">
        <v>33</v>
      </c>
      <c r="U121" s="4">
        <v>0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1936.94</v>
      </c>
      <c r="X121" s="4">
        <f>IF(ISERROR(VLOOKUP($U$121,'TAR FIN'!$A$1:$O$85,15,0)),0,VLOOKUP($U$121,'TAR FIN'!$A$1:$O$85,15,0))</f>
        <v>0</v>
      </c>
      <c r="Y121" s="4"/>
      <c r="Z121" s="4">
        <f ca="1">('TUSD BE'!$AM$11+'TUSD BF'!$AM$11+'TUSD CVA'!$AM$11)*1</f>
        <v>2207.1738391087315</v>
      </c>
      <c r="AA121" s="4"/>
      <c r="AB121" s="4">
        <f>$K$121*$V$121</f>
        <v>0</v>
      </c>
      <c r="AC121" s="4">
        <f>$M$121*$W$121</f>
        <v>27177.663613697998</v>
      </c>
      <c r="AD121" s="4">
        <f>$O$121*$X$121</f>
        <v>0</v>
      </c>
      <c r="AE121" s="4">
        <f>$K$121*$Y$121</f>
        <v>0</v>
      </c>
      <c r="AF121" s="4">
        <f ca="1">$M$121*$Z$121</f>
        <v>30969.378574582326</v>
      </c>
      <c r="AG121" s="4">
        <f>$O$121*$AA$121</f>
        <v>0</v>
      </c>
    </row>
    <row r="122" spans="1:33" ht="11.25" customHeight="1" x14ac:dyDescent="0.25">
      <c r="A122" s="3" t="s">
        <v>21</v>
      </c>
      <c r="B122" s="3" t="s">
        <v>35</v>
      </c>
      <c r="C122" s="3" t="s">
        <v>36</v>
      </c>
      <c r="D122" s="3" t="s">
        <v>34</v>
      </c>
      <c r="E122" s="3" t="s">
        <v>25</v>
      </c>
      <c r="F122" s="3" t="s">
        <v>55</v>
      </c>
      <c r="G122" s="3" t="s">
        <v>25</v>
      </c>
      <c r="H122" s="3" t="s">
        <v>37</v>
      </c>
      <c r="I122" s="6">
        <v>44593</v>
      </c>
      <c r="J122" s="4">
        <v>0</v>
      </c>
      <c r="K122" s="4">
        <v>0</v>
      </c>
      <c r="L122" s="4">
        <v>27.995999999999999</v>
      </c>
      <c r="M122" s="4">
        <v>14.4095412</v>
      </c>
      <c r="N122" s="4">
        <v>0</v>
      </c>
      <c r="O122" s="4">
        <v>0</v>
      </c>
      <c r="P122" s="4">
        <v>0</v>
      </c>
      <c r="Q122" s="3" t="s">
        <v>56</v>
      </c>
      <c r="R122" s="3">
        <v>0</v>
      </c>
      <c r="S122" s="4">
        <v>0</v>
      </c>
      <c r="T122" s="4">
        <v>33</v>
      </c>
      <c r="U122" s="4">
        <v>0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1936.94</v>
      </c>
      <c r="X122" s="4">
        <f>IF(ISERROR(VLOOKUP($U$122,'TAR FIN'!$A$1:$O$85,15,0)),0,VLOOKUP($U$122,'TAR FIN'!$A$1:$O$85,15,0))</f>
        <v>0</v>
      </c>
      <c r="Y122" s="4"/>
      <c r="Z122" s="4">
        <f ca="1">('TUSD BE'!$AM$11+'TUSD BF'!$AM$11+'TUSD CVA'!$AM$11)*1</f>
        <v>2207.1738391087315</v>
      </c>
      <c r="AA122" s="4"/>
      <c r="AB122" s="4">
        <f>$K$122*$V$122</f>
        <v>0</v>
      </c>
      <c r="AC122" s="4">
        <f>$M$122*$W$122</f>
        <v>27910.416731927999</v>
      </c>
      <c r="AD122" s="4">
        <f>$O$122*$X$122</f>
        <v>0</v>
      </c>
      <c r="AE122" s="4">
        <f>$K$122*$Y$122</f>
        <v>0</v>
      </c>
      <c r="AF122" s="4">
        <f ca="1">$M$122*$Z$122</f>
        <v>31804.362370199437</v>
      </c>
      <c r="AG122" s="4">
        <f>$O$122*$AA$122</f>
        <v>0</v>
      </c>
    </row>
    <row r="123" spans="1:33" ht="11.25" customHeight="1" x14ac:dyDescent="0.25">
      <c r="A123" s="3" t="s">
        <v>21</v>
      </c>
      <c r="B123" s="3" t="s">
        <v>35</v>
      </c>
      <c r="C123" s="3" t="s">
        <v>36</v>
      </c>
      <c r="D123" s="3" t="s">
        <v>34</v>
      </c>
      <c r="E123" s="3" t="s">
        <v>25</v>
      </c>
      <c r="F123" s="3" t="s">
        <v>55</v>
      </c>
      <c r="G123" s="3" t="s">
        <v>25</v>
      </c>
      <c r="H123" s="3" t="s">
        <v>37</v>
      </c>
      <c r="I123" s="6">
        <v>44621</v>
      </c>
      <c r="J123" s="4">
        <v>0</v>
      </c>
      <c r="K123" s="4">
        <v>0</v>
      </c>
      <c r="L123" s="4">
        <v>32.331000000000003</v>
      </c>
      <c r="M123" s="4">
        <v>16.640765699999999</v>
      </c>
      <c r="N123" s="4">
        <v>0</v>
      </c>
      <c r="O123" s="4">
        <v>0</v>
      </c>
      <c r="P123" s="4">
        <v>0</v>
      </c>
      <c r="Q123" s="3" t="s">
        <v>56</v>
      </c>
      <c r="R123" s="3">
        <v>0</v>
      </c>
      <c r="S123" s="4">
        <v>0</v>
      </c>
      <c r="T123" s="4">
        <v>33</v>
      </c>
      <c r="U123" s="4">
        <v>0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1936.94</v>
      </c>
      <c r="X123" s="4">
        <f>IF(ISERROR(VLOOKUP($U$123,'TAR FIN'!$A$1:$O$85,15,0)),0,VLOOKUP($U$123,'TAR FIN'!$A$1:$O$85,15,0))</f>
        <v>0</v>
      </c>
      <c r="Y123" s="4"/>
      <c r="Z123" s="4">
        <f ca="1">('TUSD BE'!$AM$11+'TUSD BF'!$AM$11+'TUSD CVA'!$AM$11)*1</f>
        <v>2207.1738391087315</v>
      </c>
      <c r="AA123" s="4"/>
      <c r="AB123" s="4">
        <f>$K$123*$V$123</f>
        <v>0</v>
      </c>
      <c r="AC123" s="4">
        <f>$M$123*$W$123</f>
        <v>32232.164714957999</v>
      </c>
      <c r="AD123" s="4">
        <f>$O$123*$X$123</f>
        <v>0</v>
      </c>
      <c r="AE123" s="4">
        <f>$K$123*$Y$123</f>
        <v>0</v>
      </c>
      <c r="AF123" s="4">
        <f ca="1">$M$123*$Z$123</f>
        <v>36729.062715777894</v>
      </c>
      <c r="AG123" s="4">
        <f>$O$123*$AA$123</f>
        <v>0</v>
      </c>
    </row>
    <row r="124" spans="1:33" ht="11.25" customHeight="1" x14ac:dyDescent="0.25">
      <c r="A124" s="3" t="s">
        <v>21</v>
      </c>
      <c r="B124" s="3" t="s">
        <v>35</v>
      </c>
      <c r="C124" s="3" t="s">
        <v>36</v>
      </c>
      <c r="D124" s="3" t="s">
        <v>34</v>
      </c>
      <c r="E124" s="3" t="s">
        <v>25</v>
      </c>
      <c r="F124" s="3" t="s">
        <v>55</v>
      </c>
      <c r="G124" s="3" t="s">
        <v>25</v>
      </c>
      <c r="H124" s="3" t="s">
        <v>37</v>
      </c>
      <c r="I124" s="6">
        <v>44652</v>
      </c>
      <c r="J124" s="4">
        <v>0</v>
      </c>
      <c r="K124" s="4">
        <v>0</v>
      </c>
      <c r="L124" s="4">
        <v>28.545000000000002</v>
      </c>
      <c r="M124" s="4">
        <v>14.692111499999999</v>
      </c>
      <c r="N124" s="4">
        <v>0</v>
      </c>
      <c r="O124" s="4">
        <v>0</v>
      </c>
      <c r="P124" s="4">
        <v>0</v>
      </c>
      <c r="Q124" s="3" t="s">
        <v>56</v>
      </c>
      <c r="R124" s="3">
        <v>0</v>
      </c>
      <c r="S124" s="4">
        <v>0</v>
      </c>
      <c r="T124" s="4">
        <v>33</v>
      </c>
      <c r="U124" s="4">
        <v>0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1936.94</v>
      </c>
      <c r="X124" s="4">
        <f>IF(ISERROR(VLOOKUP($U$124,'TAR FIN'!$A$1:$O$85,15,0)),0,VLOOKUP($U$124,'TAR FIN'!$A$1:$O$85,15,0))</f>
        <v>0</v>
      </c>
      <c r="Y124" s="4"/>
      <c r="Z124" s="4">
        <f ca="1">('TUSD BE'!$AM$11+'TUSD BF'!$AM$11+'TUSD CVA'!$AM$11)*1</f>
        <v>2207.1738391087315</v>
      </c>
      <c r="AA124" s="4"/>
      <c r="AB124" s="4">
        <f>$K$124*$V$124</f>
        <v>0</v>
      </c>
      <c r="AC124" s="4">
        <f>$M$124*$W$124</f>
        <v>28457.73844881</v>
      </c>
      <c r="AD124" s="4">
        <f>$O$124*$X$124</f>
        <v>0</v>
      </c>
      <c r="AE124" s="4">
        <f>$K$124*$Y$124</f>
        <v>0</v>
      </c>
      <c r="AF124" s="4">
        <f ca="1">$M$124*$Z$124</f>
        <v>32428.044144068543</v>
      </c>
      <c r="AG124" s="4">
        <f>$O$124*$AA$124</f>
        <v>0</v>
      </c>
    </row>
    <row r="125" spans="1:33" ht="11.25" customHeight="1" x14ac:dyDescent="0.25">
      <c r="A125" s="3" t="s">
        <v>21</v>
      </c>
      <c r="B125" s="3" t="s">
        <v>35</v>
      </c>
      <c r="C125" s="3" t="s">
        <v>36</v>
      </c>
      <c r="D125" s="3" t="s">
        <v>34</v>
      </c>
      <c r="E125" s="3" t="s">
        <v>25</v>
      </c>
      <c r="F125" s="3" t="s">
        <v>55</v>
      </c>
      <c r="G125" s="3" t="s">
        <v>25</v>
      </c>
      <c r="H125" s="3" t="s">
        <v>37</v>
      </c>
      <c r="I125" s="6">
        <v>44682</v>
      </c>
      <c r="J125" s="4">
        <v>0</v>
      </c>
      <c r="K125" s="4">
        <v>0</v>
      </c>
      <c r="L125" s="4">
        <v>43.064</v>
      </c>
      <c r="M125" s="4">
        <v>22.1650408</v>
      </c>
      <c r="N125" s="4">
        <v>0</v>
      </c>
      <c r="O125" s="4">
        <v>0</v>
      </c>
      <c r="P125" s="4">
        <v>0</v>
      </c>
      <c r="Q125" s="3" t="s">
        <v>56</v>
      </c>
      <c r="R125" s="3">
        <v>0</v>
      </c>
      <c r="S125" s="4">
        <v>0</v>
      </c>
      <c r="T125" s="4">
        <v>33</v>
      </c>
      <c r="U125" s="4">
        <v>0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1936.94</v>
      </c>
      <c r="X125" s="4">
        <f>IF(ISERROR(VLOOKUP($U$125,'TAR FIN'!$A$1:$O$85,15,0)),0,VLOOKUP($U$125,'TAR FIN'!$A$1:$O$85,15,0))</f>
        <v>0</v>
      </c>
      <c r="Y125" s="4"/>
      <c r="Z125" s="4">
        <f ca="1">('TUSD BE'!$AM$11+'TUSD BF'!$AM$11+'TUSD CVA'!$AM$11)*1</f>
        <v>2207.1738391087315</v>
      </c>
      <c r="AA125" s="4"/>
      <c r="AB125" s="4">
        <f>$K$125*$V$125</f>
        <v>0</v>
      </c>
      <c r="AC125" s="4">
        <f>$M$125*$W$125</f>
        <v>42932.354127152001</v>
      </c>
      <c r="AD125" s="4">
        <f>$O$125*$X$125</f>
        <v>0</v>
      </c>
      <c r="AE125" s="4">
        <f>$K$125*$Y$125</f>
        <v>0</v>
      </c>
      <c r="AF125" s="4">
        <f ca="1">$M$125*$Z$125</f>
        <v>48922.09819653767</v>
      </c>
      <c r="AG125" s="4">
        <f>$O$125*$AA$125</f>
        <v>0</v>
      </c>
    </row>
    <row r="126" spans="1:33" ht="11.25" customHeight="1" x14ac:dyDescent="0.25">
      <c r="A126" s="3" t="s">
        <v>21</v>
      </c>
      <c r="B126" s="3" t="s">
        <v>35</v>
      </c>
      <c r="C126" s="3" t="s">
        <v>36</v>
      </c>
      <c r="D126" s="3" t="s">
        <v>34</v>
      </c>
      <c r="E126" s="3" t="s">
        <v>25</v>
      </c>
      <c r="F126" s="3" t="s">
        <v>55</v>
      </c>
      <c r="G126" s="3" t="s">
        <v>25</v>
      </c>
      <c r="H126" s="3" t="s">
        <v>37</v>
      </c>
      <c r="I126" s="6">
        <v>44713</v>
      </c>
      <c r="J126" s="4">
        <v>0</v>
      </c>
      <c r="K126" s="4">
        <v>0</v>
      </c>
      <c r="L126" s="4">
        <v>21.507000000000001</v>
      </c>
      <c r="M126" s="4">
        <v>11.069652899999999</v>
      </c>
      <c r="N126" s="4">
        <v>0</v>
      </c>
      <c r="O126" s="4">
        <v>0</v>
      </c>
      <c r="P126" s="4">
        <v>0</v>
      </c>
      <c r="Q126" s="3" t="s">
        <v>56</v>
      </c>
      <c r="R126" s="3">
        <v>0</v>
      </c>
      <c r="S126" s="4">
        <v>0</v>
      </c>
      <c r="T126" s="4">
        <v>33</v>
      </c>
      <c r="U126" s="4">
        <v>0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1936.94</v>
      </c>
      <c r="X126" s="4">
        <f>IF(ISERROR(VLOOKUP($U$126,'TAR FIN'!$A$1:$O$85,15,0)),0,VLOOKUP($U$126,'TAR FIN'!$A$1:$O$85,15,0))</f>
        <v>0</v>
      </c>
      <c r="Y126" s="4"/>
      <c r="Z126" s="4">
        <f ca="1">('TUSD BE'!$AM$11+'TUSD BF'!$AM$11+'TUSD CVA'!$AM$11)*1</f>
        <v>2207.1738391087315</v>
      </c>
      <c r="AA126" s="4"/>
      <c r="AB126" s="4">
        <f>$K$126*$V$126</f>
        <v>0</v>
      </c>
      <c r="AC126" s="4">
        <f>$M$126*$W$126</f>
        <v>21441.253488126</v>
      </c>
      <c r="AD126" s="4">
        <f>$O$126*$X$126</f>
        <v>0</v>
      </c>
      <c r="AE126" s="4">
        <f>$K$126*$Y$126</f>
        <v>0</v>
      </c>
      <c r="AF126" s="4">
        <f ca="1">$M$126*$Z$126</f>
        <v>24432.648288894103</v>
      </c>
      <c r="AG126" s="4">
        <f>$O$126*$AA$126</f>
        <v>0</v>
      </c>
    </row>
    <row r="127" spans="1:33" ht="11.25" customHeight="1" x14ac:dyDescent="0.25">
      <c r="A127" s="3" t="s">
        <v>21</v>
      </c>
      <c r="B127" s="3" t="s">
        <v>35</v>
      </c>
      <c r="C127" s="3" t="s">
        <v>36</v>
      </c>
      <c r="D127" s="3" t="s">
        <v>34</v>
      </c>
      <c r="E127" s="3" t="s">
        <v>25</v>
      </c>
      <c r="F127" s="3" t="s">
        <v>55</v>
      </c>
      <c r="G127" s="3" t="s">
        <v>25</v>
      </c>
      <c r="H127" s="3" t="s">
        <v>37</v>
      </c>
      <c r="I127" s="6">
        <v>44743</v>
      </c>
      <c r="J127" s="4">
        <v>0</v>
      </c>
      <c r="K127" s="4">
        <v>0</v>
      </c>
      <c r="L127" s="4">
        <v>23.550999999999998</v>
      </c>
      <c r="M127" s="4">
        <v>12.121699700000001</v>
      </c>
      <c r="N127" s="4">
        <v>0</v>
      </c>
      <c r="O127" s="4">
        <v>0</v>
      </c>
      <c r="P127" s="4">
        <v>0</v>
      </c>
      <c r="Q127" s="3" t="s">
        <v>56</v>
      </c>
      <c r="R127" s="3">
        <v>0</v>
      </c>
      <c r="S127" s="4">
        <v>0</v>
      </c>
      <c r="T127" s="4">
        <v>33</v>
      </c>
      <c r="U127" s="4">
        <v>0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1936.94</v>
      </c>
      <c r="X127" s="4">
        <f>IF(ISERROR(VLOOKUP($U$127,'TAR FIN'!$A$1:$O$85,15,0)),0,VLOOKUP($U$127,'TAR FIN'!$A$1:$O$85,15,0))</f>
        <v>0</v>
      </c>
      <c r="Y127" s="4"/>
      <c r="Z127" s="4">
        <f ca="1">('TUSD BE'!$AM$11+'TUSD BF'!$AM$11+'TUSD CVA'!$AM$11)*1</f>
        <v>2207.1738391087315</v>
      </c>
      <c r="AA127" s="4"/>
      <c r="AB127" s="4">
        <f>$K$127*$V$127</f>
        <v>0</v>
      </c>
      <c r="AC127" s="4">
        <f>$M$127*$W$127</f>
        <v>23479.005016918003</v>
      </c>
      <c r="AD127" s="4">
        <f>$O$127*$X$127</f>
        <v>0</v>
      </c>
      <c r="AE127" s="4">
        <f>$K$127*$Y$127</f>
        <v>0</v>
      </c>
      <c r="AF127" s="4">
        <f ca="1">$M$127*$Z$127</f>
        <v>26754.698463372159</v>
      </c>
      <c r="AG127" s="4">
        <f>$O$127*$AA$127</f>
        <v>0</v>
      </c>
    </row>
    <row r="128" spans="1:33" ht="11.25" customHeight="1" x14ac:dyDescent="0.25">
      <c r="A128" s="3" t="s">
        <v>21</v>
      </c>
      <c r="B128" s="3" t="s">
        <v>35</v>
      </c>
      <c r="C128" s="3" t="s">
        <v>36</v>
      </c>
      <c r="D128" s="3" t="s">
        <v>34</v>
      </c>
      <c r="E128" s="3" t="s">
        <v>25</v>
      </c>
      <c r="F128" s="3" t="s">
        <v>55</v>
      </c>
      <c r="G128" s="3" t="s">
        <v>25</v>
      </c>
      <c r="H128" s="3" t="s">
        <v>37</v>
      </c>
      <c r="I128" s="6">
        <v>44774</v>
      </c>
      <c r="J128" s="4">
        <v>0</v>
      </c>
      <c r="K128" s="4">
        <v>0</v>
      </c>
      <c r="L128" s="4">
        <v>31.175999999999998</v>
      </c>
      <c r="M128" s="4">
        <v>16.046287199999998</v>
      </c>
      <c r="N128" s="4">
        <v>0</v>
      </c>
      <c r="O128" s="4">
        <v>0</v>
      </c>
      <c r="P128" s="4">
        <v>0</v>
      </c>
      <c r="Q128" s="3" t="s">
        <v>56</v>
      </c>
      <c r="R128" s="3">
        <v>0</v>
      </c>
      <c r="S128" s="4">
        <v>0</v>
      </c>
      <c r="T128" s="4">
        <v>33</v>
      </c>
      <c r="U128" s="4">
        <v>0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1936.94</v>
      </c>
      <c r="X128" s="4">
        <f>IF(ISERROR(VLOOKUP($U$128,'TAR FIN'!$A$1:$O$85,15,0)),0,VLOOKUP($U$128,'TAR FIN'!$A$1:$O$85,15,0))</f>
        <v>0</v>
      </c>
      <c r="Y128" s="4"/>
      <c r="Z128" s="4">
        <f ca="1">('TUSD BE'!$AM$11+'TUSD BF'!$AM$11+'TUSD CVA'!$AM$11)*1</f>
        <v>2207.1738391087315</v>
      </c>
      <c r="AA128" s="4"/>
      <c r="AB128" s="4">
        <f>$K$128*$V$128</f>
        <v>0</v>
      </c>
      <c r="AC128" s="4">
        <f>$M$128*$W$128</f>
        <v>31080.695529167999</v>
      </c>
      <c r="AD128" s="4">
        <f>$O$128*$X$128</f>
        <v>0</v>
      </c>
      <c r="AE128" s="4">
        <f>$K$128*$Y$128</f>
        <v>0</v>
      </c>
      <c r="AF128" s="4">
        <f ca="1">$M$128*$Z$128</f>
        <v>35416.945322665291</v>
      </c>
      <c r="AG128" s="4">
        <f>$O$128*$AA$128</f>
        <v>0</v>
      </c>
    </row>
    <row r="129" spans="1:33" ht="11.25" customHeight="1" x14ac:dyDescent="0.25">
      <c r="A129" s="3" t="s">
        <v>21</v>
      </c>
      <c r="B129" s="3" t="s">
        <v>35</v>
      </c>
      <c r="C129" s="3" t="s">
        <v>36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44440</v>
      </c>
      <c r="J129" s="4">
        <v>0</v>
      </c>
      <c r="K129" s="4">
        <v>0</v>
      </c>
      <c r="L129" s="4">
        <v>549.95100000000002</v>
      </c>
      <c r="M129" s="4">
        <v>549.95100000000002</v>
      </c>
      <c r="N129" s="4">
        <v>549.95100000000002</v>
      </c>
      <c r="O129" s="4">
        <v>549.95100000000002</v>
      </c>
      <c r="P129" s="4">
        <v>0</v>
      </c>
      <c r="Q129" s="3" t="s">
        <v>26</v>
      </c>
      <c r="R129" s="3">
        <v>0</v>
      </c>
      <c r="S129" s="4">
        <v>0</v>
      </c>
      <c r="T129" s="4">
        <v>15</v>
      </c>
      <c r="U129" s="4">
        <v>67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56.92</v>
      </c>
      <c r="X129" s="4">
        <f>IF(ISERROR(VLOOKUP($U$129,'TAR FIN'!$A$1:$O$85,15,0)),0,VLOOKUP($U$129,'TAR FIN'!$A$1:$O$85,15,0))</f>
        <v>267.91000000000003</v>
      </c>
      <c r="Y129" s="4"/>
      <c r="Z129" s="4">
        <f ca="1">('TUSD BE'!$AM$12+'TUSD BF'!$AM$12+'TUSD CVA'!$AM$12)*1</f>
        <v>100.14715657738388</v>
      </c>
      <c r="AA129" s="4">
        <f>('TE BE'!$AB$6+'TE BF'!$AB$6+'TE CVA'!$AB$6)*1</f>
        <v>185.42082399535556</v>
      </c>
      <c r="AB129" s="4">
        <f>$K$129*$V$129</f>
        <v>0</v>
      </c>
      <c r="AC129" s="4">
        <f>$M$129*$W$129</f>
        <v>31303.210920000001</v>
      </c>
      <c r="AD129" s="4">
        <f>$O$129*$X$129</f>
        <v>147337.37241000001</v>
      </c>
      <c r="AE129" s="4">
        <f>$K$129*$Y$129</f>
        <v>0</v>
      </c>
      <c r="AF129" s="4">
        <f ca="1">$M$129*$Z$129</f>
        <v>55076.028906888845</v>
      </c>
      <c r="AG129" s="4">
        <f>$O$129*$AA$129</f>
        <v>101972.36757706979</v>
      </c>
    </row>
    <row r="130" spans="1:33" ht="11.25" customHeight="1" x14ac:dyDescent="0.25">
      <c r="A130" s="3" t="s">
        <v>21</v>
      </c>
      <c r="B130" s="3" t="s">
        <v>35</v>
      </c>
      <c r="C130" s="3" t="s">
        <v>36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44470</v>
      </c>
      <c r="J130" s="4">
        <v>0</v>
      </c>
      <c r="K130" s="4">
        <v>0</v>
      </c>
      <c r="L130" s="4">
        <v>534.697</v>
      </c>
      <c r="M130" s="4">
        <v>534.697</v>
      </c>
      <c r="N130" s="4">
        <v>534.697</v>
      </c>
      <c r="O130" s="4">
        <v>534.697</v>
      </c>
      <c r="P130" s="4">
        <v>0</v>
      </c>
      <c r="Q130" s="3" t="s">
        <v>26</v>
      </c>
      <c r="R130" s="3">
        <v>0</v>
      </c>
      <c r="S130" s="4">
        <v>0</v>
      </c>
      <c r="T130" s="4">
        <v>15</v>
      </c>
      <c r="U130" s="4">
        <v>67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56.92</v>
      </c>
      <c r="X130" s="4">
        <f>IF(ISERROR(VLOOKUP($U$130,'TAR FIN'!$A$1:$O$85,15,0)),0,VLOOKUP($U$130,'TAR FIN'!$A$1:$O$85,15,0))</f>
        <v>267.91000000000003</v>
      </c>
      <c r="Y130" s="4"/>
      <c r="Z130" s="4">
        <f ca="1">('TUSD BE'!$AM$12+'TUSD BF'!$AM$12+'TUSD CVA'!$AM$12)*1</f>
        <v>100.14715657738388</v>
      </c>
      <c r="AA130" s="4">
        <f>('TE BE'!$AB$6+'TE BF'!$AB$6+'TE CVA'!$AB$6)*1</f>
        <v>185.42082399535556</v>
      </c>
      <c r="AB130" s="4">
        <f>$K$130*$V$130</f>
        <v>0</v>
      </c>
      <c r="AC130" s="4">
        <f>$M$130*$W$130</f>
        <v>30434.953240000003</v>
      </c>
      <c r="AD130" s="4">
        <f>$O$130*$X$130</f>
        <v>143250.67327000003</v>
      </c>
      <c r="AE130" s="4">
        <f>$K$130*$Y$130</f>
        <v>0</v>
      </c>
      <c r="AF130" s="4">
        <f ca="1">$M$130*$Z$130</f>
        <v>53548.384180457433</v>
      </c>
      <c r="AG130" s="4">
        <f>$O$130*$AA$130</f>
        <v>99143.958327844637</v>
      </c>
    </row>
    <row r="131" spans="1:33" ht="11.25" customHeight="1" x14ac:dyDescent="0.25">
      <c r="A131" s="3" t="s">
        <v>21</v>
      </c>
      <c r="B131" s="3" t="s">
        <v>35</v>
      </c>
      <c r="C131" s="3" t="s">
        <v>36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44501</v>
      </c>
      <c r="J131" s="4">
        <v>0</v>
      </c>
      <c r="K131" s="4">
        <v>0</v>
      </c>
      <c r="L131" s="4">
        <v>546.779</v>
      </c>
      <c r="M131" s="4">
        <v>546.779</v>
      </c>
      <c r="N131" s="4">
        <v>546.779</v>
      </c>
      <c r="O131" s="4">
        <v>546.779</v>
      </c>
      <c r="P131" s="4">
        <v>0</v>
      </c>
      <c r="Q131" s="3" t="s">
        <v>26</v>
      </c>
      <c r="R131" s="3">
        <v>0</v>
      </c>
      <c r="S131" s="4">
        <v>0</v>
      </c>
      <c r="T131" s="4">
        <v>15</v>
      </c>
      <c r="U131" s="4">
        <v>67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56.92</v>
      </c>
      <c r="X131" s="4">
        <f>IF(ISERROR(VLOOKUP($U$131,'TAR FIN'!$A$1:$O$85,15,0)),0,VLOOKUP($U$131,'TAR FIN'!$A$1:$O$85,15,0))</f>
        <v>267.91000000000003</v>
      </c>
      <c r="Y131" s="4"/>
      <c r="Z131" s="4">
        <f ca="1">('TUSD BE'!$AM$12+'TUSD BF'!$AM$12+'TUSD CVA'!$AM$12)*1</f>
        <v>100.14715657738388</v>
      </c>
      <c r="AA131" s="4">
        <f>('TE BE'!$AB$6+'TE BF'!$AB$6+'TE CVA'!$AB$6)*1</f>
        <v>185.42082399535556</v>
      </c>
      <c r="AB131" s="4">
        <f>$K$131*$V$131</f>
        <v>0</v>
      </c>
      <c r="AC131" s="4">
        <f>$M$131*$W$131</f>
        <v>31122.660680000001</v>
      </c>
      <c r="AD131" s="4">
        <f>$O$131*$X$131</f>
        <v>146487.56189000001</v>
      </c>
      <c r="AE131" s="4">
        <f>$K$131*$Y$131</f>
        <v>0</v>
      </c>
      <c r="AF131" s="4">
        <f ca="1">$M$131*$Z$131</f>
        <v>54758.36212622538</v>
      </c>
      <c r="AG131" s="4">
        <f>$O$131*$AA$131</f>
        <v>101384.21272335651</v>
      </c>
    </row>
    <row r="132" spans="1:33" ht="11.25" customHeight="1" x14ac:dyDescent="0.25">
      <c r="A132" s="3" t="s">
        <v>21</v>
      </c>
      <c r="B132" s="3" t="s">
        <v>35</v>
      </c>
      <c r="C132" s="3" t="s">
        <v>36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44531</v>
      </c>
      <c r="J132" s="4">
        <v>0</v>
      </c>
      <c r="K132" s="4">
        <v>0</v>
      </c>
      <c r="L132" s="4">
        <v>448.85599999999999</v>
      </c>
      <c r="M132" s="4">
        <v>448.85599999999999</v>
      </c>
      <c r="N132" s="4">
        <v>448.85599999999999</v>
      </c>
      <c r="O132" s="4">
        <v>448.85599999999999</v>
      </c>
      <c r="P132" s="4">
        <v>0</v>
      </c>
      <c r="Q132" s="3" t="s">
        <v>26</v>
      </c>
      <c r="R132" s="3">
        <v>0</v>
      </c>
      <c r="S132" s="4">
        <v>0</v>
      </c>
      <c r="T132" s="4">
        <v>15</v>
      </c>
      <c r="U132" s="4">
        <v>67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56.92</v>
      </c>
      <c r="X132" s="4">
        <f>IF(ISERROR(VLOOKUP($U$132,'TAR FIN'!$A$1:$O$85,15,0)),0,VLOOKUP($U$132,'TAR FIN'!$A$1:$O$85,15,0))</f>
        <v>267.91000000000003</v>
      </c>
      <c r="Y132" s="4"/>
      <c r="Z132" s="4">
        <f ca="1">('TUSD BE'!$AM$12+'TUSD BF'!$AM$12+'TUSD CVA'!$AM$12)*1</f>
        <v>100.14715657738388</v>
      </c>
      <c r="AA132" s="4">
        <f>('TE BE'!$AB$6+'TE BF'!$AB$6+'TE CVA'!$AB$6)*1</f>
        <v>185.42082399535556</v>
      </c>
      <c r="AB132" s="4">
        <f>$K$132*$V$132</f>
        <v>0</v>
      </c>
      <c r="AC132" s="4">
        <f>$M$132*$W$132</f>
        <v>25548.883519999999</v>
      </c>
      <c r="AD132" s="4">
        <f>$O$132*$X$132</f>
        <v>120253.01096000001</v>
      </c>
      <c r="AE132" s="4">
        <f>$K$132*$Y$132</f>
        <v>0</v>
      </c>
      <c r="AF132" s="4">
        <f ca="1">$M$132*$Z$132</f>
        <v>44951.652112698219</v>
      </c>
      <c r="AG132" s="4">
        <f>$O$132*$AA$132</f>
        <v>83227.249375259315</v>
      </c>
    </row>
    <row r="133" spans="1:33" ht="11.25" customHeight="1" x14ac:dyDescent="0.25">
      <c r="A133" s="3" t="s">
        <v>21</v>
      </c>
      <c r="B133" s="3" t="s">
        <v>35</v>
      </c>
      <c r="C133" s="3" t="s">
        <v>36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44562</v>
      </c>
      <c r="J133" s="4">
        <v>0</v>
      </c>
      <c r="K133" s="4">
        <v>0</v>
      </c>
      <c r="L133" s="4">
        <v>556.86699999999996</v>
      </c>
      <c r="M133" s="4">
        <v>556.86699999999996</v>
      </c>
      <c r="N133" s="4">
        <v>556.86699999999996</v>
      </c>
      <c r="O133" s="4">
        <v>556.86699999999996</v>
      </c>
      <c r="P133" s="4">
        <v>0</v>
      </c>
      <c r="Q133" s="3" t="s">
        <v>26</v>
      </c>
      <c r="R133" s="3">
        <v>0</v>
      </c>
      <c r="S133" s="4">
        <v>0</v>
      </c>
      <c r="T133" s="4">
        <v>15</v>
      </c>
      <c r="U133" s="4">
        <v>67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56.92</v>
      </c>
      <c r="X133" s="4">
        <f>IF(ISERROR(VLOOKUP($U$133,'TAR FIN'!$A$1:$O$85,15,0)),0,VLOOKUP($U$133,'TAR FIN'!$A$1:$O$85,15,0))</f>
        <v>267.91000000000003</v>
      </c>
      <c r="Y133" s="4"/>
      <c r="Z133" s="4">
        <f ca="1">('TUSD BE'!$AM$12+'TUSD BF'!$AM$12+'TUSD CVA'!$AM$12)*1</f>
        <v>100.14715657738388</v>
      </c>
      <c r="AA133" s="4">
        <f>('TE BE'!$AB$6+'TE BF'!$AB$6+'TE CVA'!$AB$6)*1</f>
        <v>185.42082399535556</v>
      </c>
      <c r="AB133" s="4">
        <f>$K$133*$V$133</f>
        <v>0</v>
      </c>
      <c r="AC133" s="4">
        <f>$M$133*$W$133</f>
        <v>31696.869639999997</v>
      </c>
      <c r="AD133" s="4">
        <f>$O$133*$X$133</f>
        <v>149190.23797000002</v>
      </c>
      <c r="AE133" s="4">
        <f>$K$133*$Y$133</f>
        <v>0</v>
      </c>
      <c r="AF133" s="4">
        <f ca="1">$M$133*$Z$133</f>
        <v>55768.646641778025</v>
      </c>
      <c r="AG133" s="4">
        <f>$O$133*$AA$133</f>
        <v>103254.73799582166</v>
      </c>
    </row>
    <row r="134" spans="1:33" ht="11.25" customHeight="1" x14ac:dyDescent="0.25">
      <c r="A134" s="3" t="s">
        <v>21</v>
      </c>
      <c r="B134" s="3" t="s">
        <v>35</v>
      </c>
      <c r="C134" s="3" t="s">
        <v>36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38</v>
      </c>
      <c r="I134" s="6">
        <v>44593</v>
      </c>
      <c r="J134" s="4">
        <v>0</v>
      </c>
      <c r="K134" s="4">
        <v>0</v>
      </c>
      <c r="L134" s="4">
        <v>572.27</v>
      </c>
      <c r="M134" s="4">
        <v>572.27</v>
      </c>
      <c r="N134" s="4">
        <v>572.27</v>
      </c>
      <c r="O134" s="4">
        <v>572.27</v>
      </c>
      <c r="P134" s="4">
        <v>0</v>
      </c>
      <c r="Q134" s="3" t="s">
        <v>26</v>
      </c>
      <c r="R134" s="3">
        <v>0</v>
      </c>
      <c r="S134" s="4">
        <v>0</v>
      </c>
      <c r="T134" s="4">
        <v>15</v>
      </c>
      <c r="U134" s="4">
        <v>67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56.92</v>
      </c>
      <c r="X134" s="4">
        <f>IF(ISERROR(VLOOKUP($U$134,'TAR FIN'!$A$1:$O$85,15,0)),0,VLOOKUP($U$134,'TAR FIN'!$A$1:$O$85,15,0))</f>
        <v>267.91000000000003</v>
      </c>
      <c r="Y134" s="4"/>
      <c r="Z134" s="4">
        <f ca="1">('TUSD BE'!$AM$12+'TUSD BF'!$AM$12+'TUSD CVA'!$AM$12)*1</f>
        <v>100.14715657738388</v>
      </c>
      <c r="AA134" s="4">
        <f>('TE BE'!$AB$6+'TE BF'!$AB$6+'TE CVA'!$AB$6)*1</f>
        <v>185.42082399535556</v>
      </c>
      <c r="AB134" s="4">
        <f>$K$134*$V$134</f>
        <v>0</v>
      </c>
      <c r="AC134" s="4">
        <f>$M$134*$W$134</f>
        <v>32573.608400000001</v>
      </c>
      <c r="AD134" s="4">
        <f>$O$134*$X$134</f>
        <v>153316.85570000001</v>
      </c>
      <c r="AE134" s="4">
        <f>$K$134*$Y$134</f>
        <v>0</v>
      </c>
      <c r="AF134" s="4">
        <f ca="1">$M$134*$Z$134</f>
        <v>57311.21329453947</v>
      </c>
      <c r="AG134" s="4">
        <f>$O$134*$AA$134</f>
        <v>106110.77494782212</v>
      </c>
    </row>
    <row r="135" spans="1:33" ht="11.25" customHeight="1" x14ac:dyDescent="0.25">
      <c r="A135" s="3" t="s">
        <v>21</v>
      </c>
      <c r="B135" s="3" t="s">
        <v>35</v>
      </c>
      <c r="C135" s="3" t="s">
        <v>36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38</v>
      </c>
      <c r="I135" s="6">
        <v>44621</v>
      </c>
      <c r="J135" s="4">
        <v>0</v>
      </c>
      <c r="K135" s="4">
        <v>0</v>
      </c>
      <c r="L135" s="4">
        <v>547.15</v>
      </c>
      <c r="M135" s="4">
        <v>547.15</v>
      </c>
      <c r="N135" s="4">
        <v>547.15</v>
      </c>
      <c r="O135" s="4">
        <v>547.15</v>
      </c>
      <c r="P135" s="4">
        <v>0</v>
      </c>
      <c r="Q135" s="3" t="s">
        <v>26</v>
      </c>
      <c r="R135" s="3">
        <v>0</v>
      </c>
      <c r="S135" s="4">
        <v>0</v>
      </c>
      <c r="T135" s="4">
        <v>15</v>
      </c>
      <c r="U135" s="4">
        <v>67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56.92</v>
      </c>
      <c r="X135" s="4">
        <f>IF(ISERROR(VLOOKUP($U$135,'TAR FIN'!$A$1:$O$85,15,0)),0,VLOOKUP($U$135,'TAR FIN'!$A$1:$O$85,15,0))</f>
        <v>267.91000000000003</v>
      </c>
      <c r="Y135" s="4"/>
      <c r="Z135" s="4">
        <f ca="1">('TUSD BE'!$AM$12+'TUSD BF'!$AM$12+'TUSD CVA'!$AM$12)*1</f>
        <v>100.14715657738388</v>
      </c>
      <c r="AA135" s="4">
        <f>('TE BE'!$AB$6+'TE BF'!$AB$6+'TE CVA'!$AB$6)*1</f>
        <v>185.42082399535556</v>
      </c>
      <c r="AB135" s="4">
        <f>$K$135*$V$135</f>
        <v>0</v>
      </c>
      <c r="AC135" s="4">
        <f>$M$135*$W$135</f>
        <v>31143.777999999998</v>
      </c>
      <c r="AD135" s="4">
        <f>$O$135*$X$135</f>
        <v>146586.9565</v>
      </c>
      <c r="AE135" s="4">
        <f>$K$135*$Y$135</f>
        <v>0</v>
      </c>
      <c r="AF135" s="4">
        <f ca="1">$M$135*$Z$135</f>
        <v>54795.516721315587</v>
      </c>
      <c r="AG135" s="4">
        <f>$O$135*$AA$135</f>
        <v>101453.00384905879</v>
      </c>
    </row>
    <row r="136" spans="1:33" ht="11.25" customHeight="1" x14ac:dyDescent="0.25">
      <c r="A136" s="3" t="s">
        <v>21</v>
      </c>
      <c r="B136" s="3" t="s">
        <v>35</v>
      </c>
      <c r="C136" s="3" t="s">
        <v>36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38</v>
      </c>
      <c r="I136" s="6">
        <v>44652</v>
      </c>
      <c r="J136" s="4">
        <v>0</v>
      </c>
      <c r="K136" s="4">
        <v>0</v>
      </c>
      <c r="L136" s="4">
        <v>617.101</v>
      </c>
      <c r="M136" s="4">
        <v>617.101</v>
      </c>
      <c r="N136" s="4">
        <v>617.101</v>
      </c>
      <c r="O136" s="4">
        <v>617.101</v>
      </c>
      <c r="P136" s="4">
        <v>0</v>
      </c>
      <c r="Q136" s="3" t="s">
        <v>26</v>
      </c>
      <c r="R136" s="3">
        <v>0</v>
      </c>
      <c r="S136" s="4">
        <v>0</v>
      </c>
      <c r="T136" s="4">
        <v>15</v>
      </c>
      <c r="U136" s="4">
        <v>67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56.92</v>
      </c>
      <c r="X136" s="4">
        <f>IF(ISERROR(VLOOKUP($U$136,'TAR FIN'!$A$1:$O$85,15,0)),0,VLOOKUP($U$136,'TAR FIN'!$A$1:$O$85,15,0))</f>
        <v>267.91000000000003</v>
      </c>
      <c r="Y136" s="4"/>
      <c r="Z136" s="4">
        <f ca="1">('TUSD BE'!$AM$12+'TUSD BF'!$AM$12+'TUSD CVA'!$AM$12)*1</f>
        <v>100.14715657738388</v>
      </c>
      <c r="AA136" s="4">
        <f>('TE BE'!$AB$6+'TE BF'!$AB$6+'TE CVA'!$AB$6)*1</f>
        <v>185.42082399535556</v>
      </c>
      <c r="AB136" s="4">
        <f>$K$136*$V$136</f>
        <v>0</v>
      </c>
      <c r="AC136" s="4">
        <f>$M$136*$W$136</f>
        <v>35125.388919999998</v>
      </c>
      <c r="AD136" s="4">
        <f>$O$136*$X$136</f>
        <v>165327.52891000002</v>
      </c>
      <c r="AE136" s="4">
        <f>$K$136*$Y$136</f>
        <v>0</v>
      </c>
      <c r="AF136" s="4">
        <f ca="1">$M$136*$Z$136</f>
        <v>61800.910471060168</v>
      </c>
      <c r="AG136" s="4">
        <f>$O$136*$AA$136</f>
        <v>114423.37590835791</v>
      </c>
    </row>
    <row r="137" spans="1:33" ht="11.25" customHeight="1" x14ac:dyDescent="0.25">
      <c r="A137" s="3" t="s">
        <v>21</v>
      </c>
      <c r="B137" s="3" t="s">
        <v>35</v>
      </c>
      <c r="C137" s="3" t="s">
        <v>36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38</v>
      </c>
      <c r="I137" s="6">
        <v>44682</v>
      </c>
      <c r="J137" s="4">
        <v>0</v>
      </c>
      <c r="K137" s="4">
        <v>0</v>
      </c>
      <c r="L137" s="4">
        <v>576.65700000000004</v>
      </c>
      <c r="M137" s="4">
        <v>576.65700000000004</v>
      </c>
      <c r="N137" s="4">
        <v>576.65700000000004</v>
      </c>
      <c r="O137" s="4">
        <v>576.65700000000004</v>
      </c>
      <c r="P137" s="4">
        <v>0</v>
      </c>
      <c r="Q137" s="3" t="s">
        <v>26</v>
      </c>
      <c r="R137" s="3">
        <v>0</v>
      </c>
      <c r="S137" s="4">
        <v>0</v>
      </c>
      <c r="T137" s="4">
        <v>15</v>
      </c>
      <c r="U137" s="4">
        <v>67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56.92</v>
      </c>
      <c r="X137" s="4">
        <f>IF(ISERROR(VLOOKUP($U$137,'TAR FIN'!$A$1:$O$85,15,0)),0,VLOOKUP($U$137,'TAR FIN'!$A$1:$O$85,15,0))</f>
        <v>267.91000000000003</v>
      </c>
      <c r="Y137" s="4"/>
      <c r="Z137" s="4">
        <f ca="1">('TUSD BE'!$AM$12+'TUSD BF'!$AM$12+'TUSD CVA'!$AM$12)*1</f>
        <v>100.14715657738388</v>
      </c>
      <c r="AA137" s="4">
        <f>('TE BE'!$AB$6+'TE BF'!$AB$6+'TE CVA'!$AB$6)*1</f>
        <v>185.42082399535556</v>
      </c>
      <c r="AB137" s="4">
        <f>$K$137*$V$137</f>
        <v>0</v>
      </c>
      <c r="AC137" s="4">
        <f>$M$137*$W$137</f>
        <v>32823.316440000002</v>
      </c>
      <c r="AD137" s="4">
        <f>$O$137*$X$137</f>
        <v>154492.17687000002</v>
      </c>
      <c r="AE137" s="4">
        <f>$K$137*$Y$137</f>
        <v>0</v>
      </c>
      <c r="AF137" s="4">
        <f ca="1">$M$137*$Z$137</f>
        <v>57750.55887044446</v>
      </c>
      <c r="AG137" s="4">
        <f>$O$137*$AA$137</f>
        <v>106924.21610268977</v>
      </c>
    </row>
    <row r="138" spans="1:33" ht="11.25" customHeight="1" x14ac:dyDescent="0.25">
      <c r="A138" s="3" t="s">
        <v>21</v>
      </c>
      <c r="B138" s="3" t="s">
        <v>35</v>
      </c>
      <c r="C138" s="3" t="s">
        <v>36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38</v>
      </c>
      <c r="I138" s="6">
        <v>44713</v>
      </c>
      <c r="J138" s="4">
        <v>0</v>
      </c>
      <c r="K138" s="4">
        <v>0</v>
      </c>
      <c r="L138" s="4">
        <v>556.83199999999999</v>
      </c>
      <c r="M138" s="4">
        <v>556.83199999999999</v>
      </c>
      <c r="N138" s="4">
        <v>556.83199999999999</v>
      </c>
      <c r="O138" s="4">
        <v>556.83199999999999</v>
      </c>
      <c r="P138" s="4">
        <v>0</v>
      </c>
      <c r="Q138" s="3" t="s">
        <v>26</v>
      </c>
      <c r="R138" s="3">
        <v>0</v>
      </c>
      <c r="S138" s="4">
        <v>0</v>
      </c>
      <c r="T138" s="4">
        <v>15</v>
      </c>
      <c r="U138" s="4">
        <v>67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56.92</v>
      </c>
      <c r="X138" s="4">
        <f>IF(ISERROR(VLOOKUP($U$138,'TAR FIN'!$A$1:$O$85,15,0)),0,VLOOKUP($U$138,'TAR FIN'!$A$1:$O$85,15,0))</f>
        <v>267.91000000000003</v>
      </c>
      <c r="Y138" s="4"/>
      <c r="Z138" s="4">
        <f ca="1">('TUSD BE'!$AM$12+'TUSD BF'!$AM$12+'TUSD CVA'!$AM$12)*1</f>
        <v>100.14715657738388</v>
      </c>
      <c r="AA138" s="4">
        <f>('TE BE'!$AB$6+'TE BF'!$AB$6+'TE CVA'!$AB$6)*1</f>
        <v>185.42082399535556</v>
      </c>
      <c r="AB138" s="4">
        <f>$K$138*$V$138</f>
        <v>0</v>
      </c>
      <c r="AC138" s="4">
        <f>$M$138*$W$138</f>
        <v>31694.87744</v>
      </c>
      <c r="AD138" s="4">
        <f>$O$138*$X$138</f>
        <v>149180.86112000002</v>
      </c>
      <c r="AE138" s="4">
        <f>$K$138*$Y$138</f>
        <v>0</v>
      </c>
      <c r="AF138" s="4">
        <f ca="1">$M$138*$Z$138</f>
        <v>55765.141491297822</v>
      </c>
      <c r="AG138" s="4">
        <f>$O$138*$AA$138</f>
        <v>103248.24826698183</v>
      </c>
    </row>
    <row r="139" spans="1:33" ht="11.25" customHeight="1" x14ac:dyDescent="0.25">
      <c r="A139" s="3" t="s">
        <v>21</v>
      </c>
      <c r="B139" s="3" t="s">
        <v>35</v>
      </c>
      <c r="C139" s="3" t="s">
        <v>36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38</v>
      </c>
      <c r="I139" s="6">
        <v>44743</v>
      </c>
      <c r="J139" s="4">
        <v>0</v>
      </c>
      <c r="K139" s="4">
        <v>0</v>
      </c>
      <c r="L139" s="4">
        <v>480.21699999999998</v>
      </c>
      <c r="M139" s="4">
        <v>480.21699999999998</v>
      </c>
      <c r="N139" s="4">
        <v>480.21699999999998</v>
      </c>
      <c r="O139" s="4">
        <v>480.21699999999998</v>
      </c>
      <c r="P139" s="4">
        <v>0</v>
      </c>
      <c r="Q139" s="3" t="s">
        <v>26</v>
      </c>
      <c r="R139" s="3">
        <v>0</v>
      </c>
      <c r="S139" s="4">
        <v>0</v>
      </c>
      <c r="T139" s="4">
        <v>15</v>
      </c>
      <c r="U139" s="4">
        <v>67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56.92</v>
      </c>
      <c r="X139" s="4">
        <f>IF(ISERROR(VLOOKUP($U$139,'TAR FIN'!$A$1:$O$85,15,0)),0,VLOOKUP($U$139,'TAR FIN'!$A$1:$O$85,15,0))</f>
        <v>267.91000000000003</v>
      </c>
      <c r="Y139" s="4"/>
      <c r="Z139" s="4">
        <f ca="1">('TUSD BE'!$AM$12+'TUSD BF'!$AM$12+'TUSD CVA'!$AM$12)*1</f>
        <v>100.14715657738388</v>
      </c>
      <c r="AA139" s="4">
        <f>('TE BE'!$AB$6+'TE BF'!$AB$6+'TE CVA'!$AB$6)*1</f>
        <v>185.42082399535556</v>
      </c>
      <c r="AB139" s="4">
        <f>$K$139*$V$139</f>
        <v>0</v>
      </c>
      <c r="AC139" s="4">
        <f>$M$139*$W$139</f>
        <v>27333.951639999999</v>
      </c>
      <c r="AD139" s="4">
        <f>$O$139*$X$139</f>
        <v>128654.93647000002</v>
      </c>
      <c r="AE139" s="4">
        <f>$K$139*$Y$139</f>
        <v>0</v>
      </c>
      <c r="AF139" s="4">
        <f ca="1">$M$139*$Z$139</f>
        <v>48092.367090121552</v>
      </c>
      <c r="AG139" s="4">
        <f>$O$139*$AA$139</f>
        <v>89042.231836577659</v>
      </c>
    </row>
    <row r="140" spans="1:33" ht="11.25" customHeight="1" x14ac:dyDescent="0.25">
      <c r="A140" s="3" t="s">
        <v>21</v>
      </c>
      <c r="B140" s="3" t="s">
        <v>35</v>
      </c>
      <c r="C140" s="3" t="s">
        <v>36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38</v>
      </c>
      <c r="I140" s="6">
        <v>44774</v>
      </c>
      <c r="J140" s="4">
        <v>0</v>
      </c>
      <c r="K140" s="4">
        <v>0</v>
      </c>
      <c r="L140" s="4">
        <v>500.18200000000002</v>
      </c>
      <c r="M140" s="4">
        <v>500.18200000000002</v>
      </c>
      <c r="N140" s="4">
        <v>500.18200000000002</v>
      </c>
      <c r="O140" s="4">
        <v>500.18200000000002</v>
      </c>
      <c r="P140" s="4">
        <v>0</v>
      </c>
      <c r="Q140" s="3" t="s">
        <v>26</v>
      </c>
      <c r="R140" s="3">
        <v>0</v>
      </c>
      <c r="S140" s="4">
        <v>0</v>
      </c>
      <c r="T140" s="4">
        <v>15</v>
      </c>
      <c r="U140" s="4">
        <v>67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56.92</v>
      </c>
      <c r="X140" s="4">
        <f>IF(ISERROR(VLOOKUP($U$140,'TAR FIN'!$A$1:$O$85,15,0)),0,VLOOKUP($U$140,'TAR FIN'!$A$1:$O$85,15,0))</f>
        <v>267.91000000000003</v>
      </c>
      <c r="Y140" s="4"/>
      <c r="Z140" s="4">
        <f ca="1">('TUSD BE'!$AM$12+'TUSD BF'!$AM$12+'TUSD CVA'!$AM$12)*1</f>
        <v>100.14715657738388</v>
      </c>
      <c r="AA140" s="4">
        <f>('TE BE'!$AB$6+'TE BF'!$AB$6+'TE CVA'!$AB$6)*1</f>
        <v>185.42082399535556</v>
      </c>
      <c r="AB140" s="4">
        <f>$K$140*$V$140</f>
        <v>0</v>
      </c>
      <c r="AC140" s="4">
        <f>$M$140*$W$140</f>
        <v>28470.35944</v>
      </c>
      <c r="AD140" s="4">
        <f>$O$140*$X$140</f>
        <v>134003.75962000003</v>
      </c>
      <c r="AE140" s="4">
        <f>$K$140*$Y$140</f>
        <v>0</v>
      </c>
      <c r="AF140" s="4">
        <f ca="1">$M$140*$Z$140</f>
        <v>50091.805071189025</v>
      </c>
      <c r="AG140" s="4">
        <f>$O$140*$AA$140</f>
        <v>92744.158587644939</v>
      </c>
    </row>
    <row r="141" spans="1:33" ht="11.25" customHeight="1" x14ac:dyDescent="0.25">
      <c r="A141" s="3" t="s">
        <v>21</v>
      </c>
      <c r="B141" s="3" t="s">
        <v>35</v>
      </c>
      <c r="C141" s="3" t="s">
        <v>36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44440</v>
      </c>
      <c r="J141" s="4">
        <v>4006</v>
      </c>
      <c r="K141" s="4">
        <v>4006</v>
      </c>
      <c r="L141" s="4">
        <v>0</v>
      </c>
      <c r="M141" s="4">
        <v>0</v>
      </c>
      <c r="N141" s="4">
        <v>0</v>
      </c>
      <c r="O141" s="4">
        <v>0</v>
      </c>
      <c r="P141" s="4">
        <v>12</v>
      </c>
      <c r="Q141" s="3" t="s">
        <v>26</v>
      </c>
      <c r="R141" s="3">
        <v>0</v>
      </c>
      <c r="S141" s="4">
        <v>22</v>
      </c>
      <c r="T141" s="4">
        <v>0</v>
      </c>
      <c r="U141" s="4">
        <v>0</v>
      </c>
      <c r="V141" s="4">
        <f>IF(ISERROR(VLOOKUP($S$141,'TAR FIN'!$A$1:$O$85,15,0)),0,VLOOKUP($S$141,'TAR FIN'!$A$1:$O$85,15,0))</f>
        <v>22.34</v>
      </c>
      <c r="W141" s="4">
        <f>IF(ISERROR(VLOOKUP($T$141,'TAR FIN'!$A$1:$O$85,15,0)),0,VLOOKUP($T$141,'TAR FIN'!$A$1:$O$85,15,0))</f>
        <v>0</v>
      </c>
      <c r="X141" s="4">
        <f>IF(ISERROR(VLOOKUP($U$141,'TAR FIN'!$A$1:$O$85,15,0)),0,VLOOKUP($U$141,'TAR FIN'!$A$1:$O$85,15,0))</f>
        <v>0</v>
      </c>
      <c r="Y141" s="4">
        <f ca="1">('TUSD BE'!$AM$10+'TUSD BF'!$AM$10+'TUSD CVA'!$AM$10)*1</f>
        <v>28.040256427516418</v>
      </c>
      <c r="Z141" s="4"/>
      <c r="AA141" s="4"/>
      <c r="AB141" s="4">
        <f>$K$141*$V$141</f>
        <v>89494.04</v>
      </c>
      <c r="AC141" s="4">
        <f>$M$141*$W$141</f>
        <v>0</v>
      </c>
      <c r="AD141" s="4">
        <f>$O$141*$X$141</f>
        <v>0</v>
      </c>
      <c r="AE141" s="4">
        <f ca="1">$K$141*$Y$141</f>
        <v>112329.26724863077</v>
      </c>
      <c r="AF141" s="4">
        <f>$M$141*$Z$141</f>
        <v>0</v>
      </c>
      <c r="AG141" s="4">
        <f>$O$141*$AA$141</f>
        <v>0</v>
      </c>
    </row>
    <row r="142" spans="1:33" ht="11.25" customHeight="1" x14ac:dyDescent="0.25">
      <c r="A142" s="3" t="s">
        <v>21</v>
      </c>
      <c r="B142" s="3" t="s">
        <v>35</v>
      </c>
      <c r="C142" s="3" t="s">
        <v>36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44470</v>
      </c>
      <c r="J142" s="4">
        <v>4040</v>
      </c>
      <c r="K142" s="4">
        <v>4040</v>
      </c>
      <c r="L142" s="4">
        <v>0</v>
      </c>
      <c r="M142" s="4">
        <v>0</v>
      </c>
      <c r="N142" s="4">
        <v>0</v>
      </c>
      <c r="O142" s="4">
        <v>0</v>
      </c>
      <c r="P142" s="4">
        <v>12</v>
      </c>
      <c r="Q142" s="3" t="s">
        <v>26</v>
      </c>
      <c r="R142" s="3">
        <v>0</v>
      </c>
      <c r="S142" s="4">
        <v>22</v>
      </c>
      <c r="T142" s="4">
        <v>0</v>
      </c>
      <c r="U142" s="4">
        <v>0</v>
      </c>
      <c r="V142" s="4">
        <f>IF(ISERROR(VLOOKUP($S$142,'TAR FIN'!$A$1:$O$85,15,0)),0,VLOOKUP($S$142,'TAR FIN'!$A$1:$O$85,15,0))</f>
        <v>22.34</v>
      </c>
      <c r="W142" s="4">
        <f>IF(ISERROR(VLOOKUP($T$142,'TAR FIN'!$A$1:$O$85,15,0)),0,VLOOKUP($T$142,'TAR FIN'!$A$1:$O$85,15,0))</f>
        <v>0</v>
      </c>
      <c r="X142" s="4">
        <f>IF(ISERROR(VLOOKUP($U$142,'TAR FIN'!$A$1:$O$85,15,0)),0,VLOOKUP($U$142,'TAR FIN'!$A$1:$O$85,15,0))</f>
        <v>0</v>
      </c>
      <c r="Y142" s="4">
        <f ca="1">('TUSD BE'!$AM$10+'TUSD BF'!$AM$10+'TUSD CVA'!$AM$10)*1</f>
        <v>28.040256427516418</v>
      </c>
      <c r="Z142" s="4"/>
      <c r="AA142" s="4"/>
      <c r="AB142" s="4">
        <f>$K$142*$V$142</f>
        <v>90253.6</v>
      </c>
      <c r="AC142" s="4">
        <f>$M$142*$W$142</f>
        <v>0</v>
      </c>
      <c r="AD142" s="4">
        <f>$O$142*$X$142</f>
        <v>0</v>
      </c>
      <c r="AE142" s="4">
        <f ca="1">$K$142*$Y$142</f>
        <v>113282.63596716632</v>
      </c>
      <c r="AF142" s="4">
        <f>$M$142*$Z$142</f>
        <v>0</v>
      </c>
      <c r="AG142" s="4">
        <f>$O$142*$AA$142</f>
        <v>0</v>
      </c>
    </row>
    <row r="143" spans="1:33" ht="11.25" customHeight="1" x14ac:dyDescent="0.25">
      <c r="A143" s="3" t="s">
        <v>21</v>
      </c>
      <c r="B143" s="3" t="s">
        <v>35</v>
      </c>
      <c r="C143" s="3" t="s">
        <v>36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44501</v>
      </c>
      <c r="J143" s="4">
        <v>4135</v>
      </c>
      <c r="K143" s="4">
        <v>4135</v>
      </c>
      <c r="L143" s="4">
        <v>0</v>
      </c>
      <c r="M143" s="4">
        <v>0</v>
      </c>
      <c r="N143" s="4">
        <v>0</v>
      </c>
      <c r="O143" s="4">
        <v>0</v>
      </c>
      <c r="P143" s="4">
        <v>12</v>
      </c>
      <c r="Q143" s="3" t="s">
        <v>26</v>
      </c>
      <c r="R143" s="3">
        <v>0</v>
      </c>
      <c r="S143" s="4">
        <v>22</v>
      </c>
      <c r="T143" s="4">
        <v>0</v>
      </c>
      <c r="U143" s="4">
        <v>0</v>
      </c>
      <c r="V143" s="4">
        <f>IF(ISERROR(VLOOKUP($S$143,'TAR FIN'!$A$1:$O$85,15,0)),0,VLOOKUP($S$143,'TAR FIN'!$A$1:$O$85,15,0))</f>
        <v>22.34</v>
      </c>
      <c r="W143" s="4">
        <f>IF(ISERROR(VLOOKUP($T$143,'TAR FIN'!$A$1:$O$85,15,0)),0,VLOOKUP($T$143,'TAR FIN'!$A$1:$O$85,15,0))</f>
        <v>0</v>
      </c>
      <c r="X143" s="4">
        <f>IF(ISERROR(VLOOKUP($U$143,'TAR FIN'!$A$1:$O$85,15,0)),0,VLOOKUP($U$143,'TAR FIN'!$A$1:$O$85,15,0))</f>
        <v>0</v>
      </c>
      <c r="Y143" s="4">
        <f ca="1">('TUSD BE'!$AM$10+'TUSD BF'!$AM$10+'TUSD CVA'!$AM$10)*1</f>
        <v>28.040256427516418</v>
      </c>
      <c r="Z143" s="4"/>
      <c r="AA143" s="4"/>
      <c r="AB143" s="4">
        <f>$K$143*$V$143</f>
        <v>92375.9</v>
      </c>
      <c r="AC143" s="4">
        <f>$M$143*$W$143</f>
        <v>0</v>
      </c>
      <c r="AD143" s="4">
        <f>$O$143*$X$143</f>
        <v>0</v>
      </c>
      <c r="AE143" s="4">
        <f ca="1">$K$143*$Y$143</f>
        <v>115946.46032778038</v>
      </c>
      <c r="AF143" s="4">
        <f>$M$143*$Z$143</f>
        <v>0</v>
      </c>
      <c r="AG143" s="4">
        <f>$O$143*$AA$143</f>
        <v>0</v>
      </c>
    </row>
    <row r="144" spans="1:33" ht="11.25" customHeight="1" x14ac:dyDescent="0.25">
      <c r="A144" s="3" t="s">
        <v>21</v>
      </c>
      <c r="B144" s="3" t="s">
        <v>35</v>
      </c>
      <c r="C144" s="3" t="s">
        <v>36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44531</v>
      </c>
      <c r="J144" s="4">
        <v>4125</v>
      </c>
      <c r="K144" s="4">
        <v>4125</v>
      </c>
      <c r="L144" s="4">
        <v>0</v>
      </c>
      <c r="M144" s="4">
        <v>0</v>
      </c>
      <c r="N144" s="4">
        <v>0</v>
      </c>
      <c r="O144" s="4">
        <v>0</v>
      </c>
      <c r="P144" s="4">
        <v>12</v>
      </c>
      <c r="Q144" s="3" t="s">
        <v>26</v>
      </c>
      <c r="R144" s="3">
        <v>0</v>
      </c>
      <c r="S144" s="4">
        <v>22</v>
      </c>
      <c r="T144" s="4">
        <v>0</v>
      </c>
      <c r="U144" s="4">
        <v>0</v>
      </c>
      <c r="V144" s="4">
        <f>IF(ISERROR(VLOOKUP($S$144,'TAR FIN'!$A$1:$O$85,15,0)),0,VLOOKUP($S$144,'TAR FIN'!$A$1:$O$85,15,0))</f>
        <v>22.34</v>
      </c>
      <c r="W144" s="4">
        <f>IF(ISERROR(VLOOKUP($T$144,'TAR FIN'!$A$1:$O$85,15,0)),0,VLOOKUP($T$144,'TAR FIN'!$A$1:$O$85,15,0))</f>
        <v>0</v>
      </c>
      <c r="X144" s="4">
        <f>IF(ISERROR(VLOOKUP($U$144,'TAR FIN'!$A$1:$O$85,15,0)),0,VLOOKUP($U$144,'TAR FIN'!$A$1:$O$85,15,0))</f>
        <v>0</v>
      </c>
      <c r="Y144" s="4">
        <f ca="1">('TUSD BE'!$AM$10+'TUSD BF'!$AM$10+'TUSD CVA'!$AM$10)*1</f>
        <v>28.040256427516418</v>
      </c>
      <c r="Z144" s="4"/>
      <c r="AA144" s="4"/>
      <c r="AB144" s="4">
        <f>$K$144*$V$144</f>
        <v>92152.5</v>
      </c>
      <c r="AC144" s="4">
        <f>$M$144*$W$144</f>
        <v>0</v>
      </c>
      <c r="AD144" s="4">
        <f>$O$144*$X$144</f>
        <v>0</v>
      </c>
      <c r="AE144" s="4">
        <f ca="1">$K$144*$Y$144</f>
        <v>115666.05776350522</v>
      </c>
      <c r="AF144" s="4">
        <f>$M$144*$Z$144</f>
        <v>0</v>
      </c>
      <c r="AG144" s="4">
        <f>$O$144*$AA$144</f>
        <v>0</v>
      </c>
    </row>
    <row r="145" spans="1:33" ht="11.25" customHeight="1" x14ac:dyDescent="0.25">
      <c r="A145" s="3" t="s">
        <v>21</v>
      </c>
      <c r="B145" s="3" t="s">
        <v>35</v>
      </c>
      <c r="C145" s="3" t="s">
        <v>36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44562</v>
      </c>
      <c r="J145" s="4">
        <v>4146</v>
      </c>
      <c r="K145" s="4">
        <v>4146</v>
      </c>
      <c r="L145" s="4">
        <v>0</v>
      </c>
      <c r="M145" s="4">
        <v>0</v>
      </c>
      <c r="N145" s="4">
        <v>0</v>
      </c>
      <c r="O145" s="4">
        <v>0</v>
      </c>
      <c r="P145" s="4">
        <v>12</v>
      </c>
      <c r="Q145" s="3" t="s">
        <v>26</v>
      </c>
      <c r="R145" s="3">
        <v>0</v>
      </c>
      <c r="S145" s="4">
        <v>22</v>
      </c>
      <c r="T145" s="4">
        <v>0</v>
      </c>
      <c r="U145" s="4">
        <v>0</v>
      </c>
      <c r="V145" s="4">
        <f>IF(ISERROR(VLOOKUP($S$145,'TAR FIN'!$A$1:$O$85,15,0)),0,VLOOKUP($S$145,'TAR FIN'!$A$1:$O$85,15,0))</f>
        <v>22.34</v>
      </c>
      <c r="W145" s="4">
        <f>IF(ISERROR(VLOOKUP($T$145,'TAR FIN'!$A$1:$O$85,15,0)),0,VLOOKUP($T$145,'TAR FIN'!$A$1:$O$85,15,0))</f>
        <v>0</v>
      </c>
      <c r="X145" s="4">
        <f>IF(ISERROR(VLOOKUP($U$145,'TAR FIN'!$A$1:$O$85,15,0)),0,VLOOKUP($U$145,'TAR FIN'!$A$1:$O$85,15,0))</f>
        <v>0</v>
      </c>
      <c r="Y145" s="4">
        <f ca="1">('TUSD BE'!$AM$10+'TUSD BF'!$AM$10+'TUSD CVA'!$AM$10)*1</f>
        <v>28.040256427516418</v>
      </c>
      <c r="Z145" s="4"/>
      <c r="AA145" s="4"/>
      <c r="AB145" s="4">
        <f>$K$145*$V$145</f>
        <v>92621.64</v>
      </c>
      <c r="AC145" s="4">
        <f>$M$145*$W$145</f>
        <v>0</v>
      </c>
      <c r="AD145" s="4">
        <f>$O$145*$X$145</f>
        <v>0</v>
      </c>
      <c r="AE145" s="4">
        <f ca="1">$K$145*$Y$145</f>
        <v>116254.90314848306</v>
      </c>
      <c r="AF145" s="4">
        <f>$M$145*$Z$145</f>
        <v>0</v>
      </c>
      <c r="AG145" s="4">
        <f>$O$145*$AA$145</f>
        <v>0</v>
      </c>
    </row>
    <row r="146" spans="1:33" ht="11.25" customHeight="1" x14ac:dyDescent="0.25">
      <c r="A146" s="3" t="s">
        <v>21</v>
      </c>
      <c r="B146" s="3" t="s">
        <v>35</v>
      </c>
      <c r="C146" s="3" t="s">
        <v>36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44593</v>
      </c>
      <c r="J146" s="4">
        <v>4146</v>
      </c>
      <c r="K146" s="4">
        <v>4146</v>
      </c>
      <c r="L146" s="4">
        <v>0</v>
      </c>
      <c r="M146" s="4">
        <v>0</v>
      </c>
      <c r="N146" s="4">
        <v>0</v>
      </c>
      <c r="O146" s="4">
        <v>0</v>
      </c>
      <c r="P146" s="4">
        <v>12</v>
      </c>
      <c r="Q146" s="3" t="s">
        <v>26</v>
      </c>
      <c r="R146" s="3">
        <v>0</v>
      </c>
      <c r="S146" s="4">
        <v>22</v>
      </c>
      <c r="T146" s="4">
        <v>0</v>
      </c>
      <c r="U146" s="4">
        <v>0</v>
      </c>
      <c r="V146" s="4">
        <f>IF(ISERROR(VLOOKUP($S$146,'TAR FIN'!$A$1:$O$85,15,0)),0,VLOOKUP($S$146,'TAR FIN'!$A$1:$O$85,15,0))</f>
        <v>22.34</v>
      </c>
      <c r="W146" s="4">
        <f>IF(ISERROR(VLOOKUP($T$146,'TAR FIN'!$A$1:$O$85,15,0)),0,VLOOKUP($T$146,'TAR FIN'!$A$1:$O$85,15,0))</f>
        <v>0</v>
      </c>
      <c r="X146" s="4">
        <f>IF(ISERROR(VLOOKUP($U$146,'TAR FIN'!$A$1:$O$85,15,0)),0,VLOOKUP($U$146,'TAR FIN'!$A$1:$O$85,15,0))</f>
        <v>0</v>
      </c>
      <c r="Y146" s="4">
        <f ca="1">('TUSD BE'!$AM$10+'TUSD BF'!$AM$10+'TUSD CVA'!$AM$10)*1</f>
        <v>28.040256427516418</v>
      </c>
      <c r="Z146" s="4"/>
      <c r="AA146" s="4"/>
      <c r="AB146" s="4">
        <f>$K$146*$V$146</f>
        <v>92621.64</v>
      </c>
      <c r="AC146" s="4">
        <f>$M$146*$W$146</f>
        <v>0</v>
      </c>
      <c r="AD146" s="4">
        <f>$O$146*$X$146</f>
        <v>0</v>
      </c>
      <c r="AE146" s="4">
        <f ca="1">$K$146*$Y$146</f>
        <v>116254.90314848306</v>
      </c>
      <c r="AF146" s="4">
        <f>$M$146*$Z$146</f>
        <v>0</v>
      </c>
      <c r="AG146" s="4">
        <f>$O$146*$AA$146</f>
        <v>0</v>
      </c>
    </row>
    <row r="147" spans="1:33" ht="11.25" customHeight="1" x14ac:dyDescent="0.25">
      <c r="A147" s="3" t="s">
        <v>21</v>
      </c>
      <c r="B147" s="3" t="s">
        <v>35</v>
      </c>
      <c r="C147" s="3" t="s">
        <v>36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4127</v>
      </c>
      <c r="K147" s="4">
        <v>4127</v>
      </c>
      <c r="L147" s="4">
        <v>0</v>
      </c>
      <c r="M147" s="4">
        <v>0</v>
      </c>
      <c r="N147" s="4">
        <v>0</v>
      </c>
      <c r="O147" s="4">
        <v>0</v>
      </c>
      <c r="P147" s="4">
        <v>12</v>
      </c>
      <c r="Q147" s="3" t="s">
        <v>26</v>
      </c>
      <c r="R147" s="3">
        <v>0</v>
      </c>
      <c r="S147" s="4">
        <v>22</v>
      </c>
      <c r="T147" s="4">
        <v>0</v>
      </c>
      <c r="U147" s="4">
        <v>0</v>
      </c>
      <c r="V147" s="4">
        <f>IF(ISERROR(VLOOKUP($S$147,'TAR FIN'!$A$1:$O$85,15,0)),0,VLOOKUP($S$147,'TAR FIN'!$A$1:$O$85,15,0))</f>
        <v>22.34</v>
      </c>
      <c r="W147" s="4">
        <f>IF(ISERROR(VLOOKUP($T$147,'TAR FIN'!$A$1:$O$85,15,0)),0,VLOOKUP($T$147,'TAR FIN'!$A$1:$O$85,15,0))</f>
        <v>0</v>
      </c>
      <c r="X147" s="4">
        <f>IF(ISERROR(VLOOKUP($U$147,'TAR FIN'!$A$1:$O$85,15,0)),0,VLOOKUP($U$147,'TAR FIN'!$A$1:$O$85,15,0))</f>
        <v>0</v>
      </c>
      <c r="Y147" s="4">
        <f ca="1">('TUSD BE'!$AM$10+'TUSD BF'!$AM$10+'TUSD CVA'!$AM$10)*1</f>
        <v>28.040256427516418</v>
      </c>
      <c r="Z147" s="4"/>
      <c r="AA147" s="4"/>
      <c r="AB147" s="4">
        <f>$K$147*$V$147</f>
        <v>92197.18</v>
      </c>
      <c r="AC147" s="4">
        <f>$M$147*$W$147</f>
        <v>0</v>
      </c>
      <c r="AD147" s="4">
        <f>$O$147*$X$147</f>
        <v>0</v>
      </c>
      <c r="AE147" s="4">
        <f ca="1">$K$147*$Y$147</f>
        <v>115722.13827636026</v>
      </c>
      <c r="AF147" s="4">
        <f>$M$147*$Z$147</f>
        <v>0</v>
      </c>
      <c r="AG147" s="4">
        <f>$O$147*$AA$147</f>
        <v>0</v>
      </c>
    </row>
    <row r="148" spans="1:33" ht="11.25" customHeight="1" x14ac:dyDescent="0.25">
      <c r="A148" s="3" t="s">
        <v>21</v>
      </c>
      <c r="B148" s="3" t="s">
        <v>35</v>
      </c>
      <c r="C148" s="3" t="s">
        <v>36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4118</v>
      </c>
      <c r="K148" s="4">
        <v>4118</v>
      </c>
      <c r="L148" s="4">
        <v>0</v>
      </c>
      <c r="M148" s="4">
        <v>0</v>
      </c>
      <c r="N148" s="4">
        <v>0</v>
      </c>
      <c r="O148" s="4">
        <v>0</v>
      </c>
      <c r="P148" s="4">
        <v>12</v>
      </c>
      <c r="Q148" s="3" t="s">
        <v>26</v>
      </c>
      <c r="R148" s="3">
        <v>0</v>
      </c>
      <c r="S148" s="4">
        <v>22</v>
      </c>
      <c r="T148" s="4">
        <v>0</v>
      </c>
      <c r="U148" s="4">
        <v>0</v>
      </c>
      <c r="V148" s="4">
        <f>IF(ISERROR(VLOOKUP($S$148,'TAR FIN'!$A$1:$O$85,15,0)),0,VLOOKUP($S$148,'TAR FIN'!$A$1:$O$85,15,0))</f>
        <v>22.34</v>
      </c>
      <c r="W148" s="4">
        <f>IF(ISERROR(VLOOKUP($T$148,'TAR FIN'!$A$1:$O$85,15,0)),0,VLOOKUP($T$148,'TAR FIN'!$A$1:$O$85,15,0))</f>
        <v>0</v>
      </c>
      <c r="X148" s="4">
        <f>IF(ISERROR(VLOOKUP($U$148,'TAR FIN'!$A$1:$O$85,15,0)),0,VLOOKUP($U$148,'TAR FIN'!$A$1:$O$85,15,0))</f>
        <v>0</v>
      </c>
      <c r="Y148" s="4">
        <f ca="1">('TUSD BE'!$AM$10+'TUSD BF'!$AM$10+'TUSD CVA'!$AM$10)*1</f>
        <v>28.040256427516418</v>
      </c>
      <c r="Z148" s="4"/>
      <c r="AA148" s="4"/>
      <c r="AB148" s="4">
        <f>$K$148*$V$148</f>
        <v>91996.12</v>
      </c>
      <c r="AC148" s="4">
        <f>$M$148*$W$148</f>
        <v>0</v>
      </c>
      <c r="AD148" s="4">
        <f>$O$148*$X$148</f>
        <v>0</v>
      </c>
      <c r="AE148" s="4">
        <f ca="1">$K$148*$Y$148</f>
        <v>115469.77596851261</v>
      </c>
      <c r="AF148" s="4">
        <f>$M$148*$Z$148</f>
        <v>0</v>
      </c>
      <c r="AG148" s="4">
        <f>$O$148*$AA$148</f>
        <v>0</v>
      </c>
    </row>
    <row r="149" spans="1:33" ht="11.25" customHeight="1" x14ac:dyDescent="0.25">
      <c r="A149" s="3" t="s">
        <v>21</v>
      </c>
      <c r="B149" s="3" t="s">
        <v>35</v>
      </c>
      <c r="C149" s="3" t="s">
        <v>36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3395</v>
      </c>
      <c r="K149" s="4">
        <v>3395</v>
      </c>
      <c r="L149" s="4">
        <v>0</v>
      </c>
      <c r="M149" s="4">
        <v>0</v>
      </c>
      <c r="N149" s="4">
        <v>0</v>
      </c>
      <c r="O149" s="4">
        <v>0</v>
      </c>
      <c r="P149" s="4">
        <v>9</v>
      </c>
      <c r="Q149" s="3" t="s">
        <v>26</v>
      </c>
      <c r="R149" s="3">
        <v>0</v>
      </c>
      <c r="S149" s="4">
        <v>22</v>
      </c>
      <c r="T149" s="4">
        <v>0</v>
      </c>
      <c r="U149" s="4">
        <v>0</v>
      </c>
      <c r="V149" s="4">
        <f>IF(ISERROR(VLOOKUP($S$149,'TAR FIN'!$A$1:$O$85,15,0)),0,VLOOKUP($S$149,'TAR FIN'!$A$1:$O$85,15,0))</f>
        <v>22.34</v>
      </c>
      <c r="W149" s="4">
        <f>IF(ISERROR(VLOOKUP($T$149,'TAR FIN'!$A$1:$O$85,15,0)),0,VLOOKUP($T$149,'TAR FIN'!$A$1:$O$85,15,0))</f>
        <v>0</v>
      </c>
      <c r="X149" s="4">
        <f>IF(ISERROR(VLOOKUP($U$149,'TAR FIN'!$A$1:$O$85,15,0)),0,VLOOKUP($U$149,'TAR FIN'!$A$1:$O$85,15,0))</f>
        <v>0</v>
      </c>
      <c r="Y149" s="4">
        <f ca="1">('TUSD BE'!$AM$10+'TUSD BF'!$AM$10+'TUSD CVA'!$AM$10)*1</f>
        <v>28.040256427516418</v>
      </c>
      <c r="Z149" s="4"/>
      <c r="AA149" s="4"/>
      <c r="AB149" s="4">
        <f>$K$149*$V$149</f>
        <v>75844.3</v>
      </c>
      <c r="AC149" s="4">
        <f>$M$149*$W$149</f>
        <v>0</v>
      </c>
      <c r="AD149" s="4">
        <f>$O$149*$X$149</f>
        <v>0</v>
      </c>
      <c r="AE149" s="4">
        <f ca="1">$K$149*$Y$149</f>
        <v>95196.670571418246</v>
      </c>
      <c r="AF149" s="4">
        <f>$M$149*$Z$149</f>
        <v>0</v>
      </c>
      <c r="AG149" s="4">
        <f>$O$149*$AA$149</f>
        <v>0</v>
      </c>
    </row>
    <row r="150" spans="1:33" ht="11.25" customHeight="1" x14ac:dyDescent="0.25">
      <c r="A150" s="3" t="s">
        <v>21</v>
      </c>
      <c r="B150" s="3" t="s">
        <v>35</v>
      </c>
      <c r="C150" s="3" t="s">
        <v>36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3398</v>
      </c>
      <c r="K150" s="4">
        <v>3398</v>
      </c>
      <c r="L150" s="4">
        <v>0</v>
      </c>
      <c r="M150" s="4">
        <v>0</v>
      </c>
      <c r="N150" s="4">
        <v>0</v>
      </c>
      <c r="O150" s="4">
        <v>0</v>
      </c>
      <c r="P150" s="4">
        <v>9</v>
      </c>
      <c r="Q150" s="3" t="s">
        <v>26</v>
      </c>
      <c r="R150" s="3">
        <v>0</v>
      </c>
      <c r="S150" s="4">
        <v>22</v>
      </c>
      <c r="T150" s="4">
        <v>0</v>
      </c>
      <c r="U150" s="4">
        <v>0</v>
      </c>
      <c r="V150" s="4">
        <f>IF(ISERROR(VLOOKUP($S$150,'TAR FIN'!$A$1:$O$85,15,0)),0,VLOOKUP($S$150,'TAR FIN'!$A$1:$O$85,15,0))</f>
        <v>22.34</v>
      </c>
      <c r="W150" s="4">
        <f>IF(ISERROR(VLOOKUP($T$150,'TAR FIN'!$A$1:$O$85,15,0)),0,VLOOKUP($T$150,'TAR FIN'!$A$1:$O$85,15,0))</f>
        <v>0</v>
      </c>
      <c r="X150" s="4">
        <f>IF(ISERROR(VLOOKUP($U$150,'TAR FIN'!$A$1:$O$85,15,0)),0,VLOOKUP($U$150,'TAR FIN'!$A$1:$O$85,15,0))</f>
        <v>0</v>
      </c>
      <c r="Y150" s="4">
        <f ca="1">('TUSD BE'!$AM$10+'TUSD BF'!$AM$10+'TUSD CVA'!$AM$10)*1</f>
        <v>28.040256427516418</v>
      </c>
      <c r="Z150" s="4"/>
      <c r="AA150" s="4"/>
      <c r="AB150" s="4">
        <f>$K$150*$V$150</f>
        <v>75911.319999999992</v>
      </c>
      <c r="AC150" s="4">
        <f>$M$150*$W$150</f>
        <v>0</v>
      </c>
      <c r="AD150" s="4">
        <f>$O$150*$X$150</f>
        <v>0</v>
      </c>
      <c r="AE150" s="4">
        <f ca="1">$K$150*$Y$150</f>
        <v>95280.791340700787</v>
      </c>
      <c r="AF150" s="4">
        <f>$M$150*$Z$150</f>
        <v>0</v>
      </c>
      <c r="AG150" s="4">
        <f>$O$150*$AA$150</f>
        <v>0</v>
      </c>
    </row>
    <row r="151" spans="1:33" ht="11.25" customHeight="1" x14ac:dyDescent="0.25">
      <c r="A151" s="3" t="s">
        <v>21</v>
      </c>
      <c r="B151" s="3" t="s">
        <v>35</v>
      </c>
      <c r="C151" s="3" t="s">
        <v>36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3394</v>
      </c>
      <c r="K151" s="4">
        <v>3394</v>
      </c>
      <c r="L151" s="4">
        <v>0</v>
      </c>
      <c r="M151" s="4">
        <v>0</v>
      </c>
      <c r="N151" s="4">
        <v>0</v>
      </c>
      <c r="O151" s="4">
        <v>0</v>
      </c>
      <c r="P151" s="4">
        <v>9</v>
      </c>
      <c r="Q151" s="3" t="s">
        <v>26</v>
      </c>
      <c r="R151" s="3">
        <v>0</v>
      </c>
      <c r="S151" s="4">
        <v>22</v>
      </c>
      <c r="T151" s="4">
        <v>0</v>
      </c>
      <c r="U151" s="4">
        <v>0</v>
      </c>
      <c r="V151" s="4">
        <f>IF(ISERROR(VLOOKUP($S$151,'TAR FIN'!$A$1:$O$85,15,0)),0,VLOOKUP($S$151,'TAR FIN'!$A$1:$O$85,15,0))</f>
        <v>22.34</v>
      </c>
      <c r="W151" s="4">
        <f>IF(ISERROR(VLOOKUP($T$151,'TAR FIN'!$A$1:$O$85,15,0)),0,VLOOKUP($T$151,'TAR FIN'!$A$1:$O$85,15,0))</f>
        <v>0</v>
      </c>
      <c r="X151" s="4">
        <f>IF(ISERROR(VLOOKUP($U$151,'TAR FIN'!$A$1:$O$85,15,0)),0,VLOOKUP($U$151,'TAR FIN'!$A$1:$O$85,15,0))</f>
        <v>0</v>
      </c>
      <c r="Y151" s="4">
        <f ca="1">('TUSD BE'!$AM$10+'TUSD BF'!$AM$10+'TUSD CVA'!$AM$10)*1</f>
        <v>28.040256427516418</v>
      </c>
      <c r="Z151" s="4"/>
      <c r="AA151" s="4"/>
      <c r="AB151" s="4">
        <f>$K$151*$V$151</f>
        <v>75821.960000000006</v>
      </c>
      <c r="AC151" s="4">
        <f>$M$151*$W$151</f>
        <v>0</v>
      </c>
      <c r="AD151" s="4">
        <f>$O$151*$X$151</f>
        <v>0</v>
      </c>
      <c r="AE151" s="4">
        <f ca="1">$K$151*$Y$151</f>
        <v>95168.630314990718</v>
      </c>
      <c r="AF151" s="4">
        <f>$M$151*$Z$151</f>
        <v>0</v>
      </c>
      <c r="AG151" s="4">
        <f>$O$151*$AA$151</f>
        <v>0</v>
      </c>
    </row>
    <row r="152" spans="1:33" ht="11.25" customHeight="1" x14ac:dyDescent="0.25">
      <c r="A152" s="3" t="s">
        <v>21</v>
      </c>
      <c r="B152" s="3" t="s">
        <v>35</v>
      </c>
      <c r="C152" s="3" t="s">
        <v>36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3416</v>
      </c>
      <c r="K152" s="4">
        <v>3416</v>
      </c>
      <c r="L152" s="4">
        <v>0</v>
      </c>
      <c r="M152" s="4">
        <v>0</v>
      </c>
      <c r="N152" s="4">
        <v>0</v>
      </c>
      <c r="O152" s="4">
        <v>0</v>
      </c>
      <c r="P152" s="4">
        <v>9</v>
      </c>
      <c r="Q152" s="3" t="s">
        <v>26</v>
      </c>
      <c r="R152" s="3">
        <v>0</v>
      </c>
      <c r="S152" s="4">
        <v>22</v>
      </c>
      <c r="T152" s="4">
        <v>0</v>
      </c>
      <c r="U152" s="4">
        <v>0</v>
      </c>
      <c r="V152" s="4">
        <f>IF(ISERROR(VLOOKUP($S$152,'TAR FIN'!$A$1:$O$85,15,0)),0,VLOOKUP($S$152,'TAR FIN'!$A$1:$O$85,15,0))</f>
        <v>22.34</v>
      </c>
      <c r="W152" s="4">
        <f>IF(ISERROR(VLOOKUP($T$152,'TAR FIN'!$A$1:$O$85,15,0)),0,VLOOKUP($T$152,'TAR FIN'!$A$1:$O$85,15,0))</f>
        <v>0</v>
      </c>
      <c r="X152" s="4">
        <f>IF(ISERROR(VLOOKUP($U$152,'TAR FIN'!$A$1:$O$85,15,0)),0,VLOOKUP($U$152,'TAR FIN'!$A$1:$O$85,15,0))</f>
        <v>0</v>
      </c>
      <c r="Y152" s="4">
        <f ca="1">('TUSD BE'!$AM$10+'TUSD BF'!$AM$10+'TUSD CVA'!$AM$10)*1</f>
        <v>28.040256427516418</v>
      </c>
      <c r="Z152" s="4"/>
      <c r="AA152" s="4"/>
      <c r="AB152" s="4">
        <f>$K$152*$V$152</f>
        <v>76313.440000000002</v>
      </c>
      <c r="AC152" s="4">
        <f>$M$152*$W$152</f>
        <v>0</v>
      </c>
      <c r="AD152" s="4">
        <f>$O$152*$X$152</f>
        <v>0</v>
      </c>
      <c r="AE152" s="4">
        <f ca="1">$K$152*$Y$152</f>
        <v>95785.515956396091</v>
      </c>
      <c r="AF152" s="4">
        <f>$M$152*$Z$152</f>
        <v>0</v>
      </c>
      <c r="AG152" s="4">
        <f>$O$152*$AA$152</f>
        <v>0</v>
      </c>
    </row>
    <row r="153" spans="1:33" ht="11.25" customHeight="1" x14ac:dyDescent="0.25">
      <c r="A153" s="3" t="s">
        <v>21</v>
      </c>
      <c r="B153" s="3" t="s">
        <v>35</v>
      </c>
      <c r="C153" s="3" t="s">
        <v>36</v>
      </c>
      <c r="D153" s="3" t="s">
        <v>34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44440</v>
      </c>
      <c r="J153" s="4">
        <v>0</v>
      </c>
      <c r="K153" s="4">
        <v>0</v>
      </c>
      <c r="L153" s="4">
        <v>5.6669999999999998</v>
      </c>
      <c r="M153" s="4">
        <v>5.6669999999999998</v>
      </c>
      <c r="N153" s="4">
        <v>5.6669999999999998</v>
      </c>
      <c r="O153" s="4">
        <v>5.6669999999999998</v>
      </c>
      <c r="P153" s="4">
        <v>0</v>
      </c>
      <c r="Q153" s="3" t="s">
        <v>26</v>
      </c>
      <c r="R153" s="3">
        <v>0</v>
      </c>
      <c r="S153" s="4">
        <v>0</v>
      </c>
      <c r="T153" s="4">
        <v>33</v>
      </c>
      <c r="U153" s="4">
        <v>51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1936.94</v>
      </c>
      <c r="X153" s="4">
        <f>IF(ISERROR(VLOOKUP($U$153,'TAR FIN'!$A$1:$O$85,15,0)),0,VLOOKUP($U$153,'TAR FIN'!$A$1:$O$85,15,0))</f>
        <v>267.91000000000003</v>
      </c>
      <c r="Y153" s="4"/>
      <c r="Z153" s="4">
        <f ca="1">('TUSD BE'!$AM$11+'TUSD BF'!$AM$11+'TUSD CVA'!$AM$11)*1</f>
        <v>2207.1738391087315</v>
      </c>
      <c r="AA153" s="4">
        <f>('TE BE'!$AB$5+'TE BF'!$AB$5+'TE CVA'!$AB$5)*1</f>
        <v>185.42082399535556</v>
      </c>
      <c r="AB153" s="4">
        <f>$K$153*$V$153</f>
        <v>0</v>
      </c>
      <c r="AC153" s="4">
        <f>$M$153*$W$153</f>
        <v>10976.63898</v>
      </c>
      <c r="AD153" s="4">
        <f>$O$153*$X$153</f>
        <v>1518.2459700000002</v>
      </c>
      <c r="AE153" s="4">
        <f>$K$153*$Y$153</f>
        <v>0</v>
      </c>
      <c r="AF153" s="4">
        <f ca="1">$M$153*$Z$153</f>
        <v>12508.05414622918</v>
      </c>
      <c r="AG153" s="4">
        <f>$O$153*$AA$153</f>
        <v>1050.77980958168</v>
      </c>
    </row>
    <row r="154" spans="1:33" ht="11.25" customHeight="1" x14ac:dyDescent="0.25">
      <c r="A154" s="3" t="s">
        <v>21</v>
      </c>
      <c r="B154" s="3" t="s">
        <v>35</v>
      </c>
      <c r="C154" s="3" t="s">
        <v>36</v>
      </c>
      <c r="D154" s="3" t="s">
        <v>34</v>
      </c>
      <c r="E154" s="3" t="s">
        <v>25</v>
      </c>
      <c r="F154" s="3" t="s">
        <v>25</v>
      </c>
      <c r="G154" s="3" t="s">
        <v>25</v>
      </c>
      <c r="H154" s="3" t="s">
        <v>37</v>
      </c>
      <c r="I154" s="6">
        <v>44470</v>
      </c>
      <c r="J154" s="4">
        <v>0</v>
      </c>
      <c r="K154" s="4">
        <v>0</v>
      </c>
      <c r="L154" s="4">
        <v>10.252000000000001</v>
      </c>
      <c r="M154" s="4">
        <v>10.252000000000001</v>
      </c>
      <c r="N154" s="4">
        <v>10.252000000000001</v>
      </c>
      <c r="O154" s="4">
        <v>10.252000000000001</v>
      </c>
      <c r="P154" s="4">
        <v>0</v>
      </c>
      <c r="Q154" s="3" t="s">
        <v>26</v>
      </c>
      <c r="R154" s="3">
        <v>0</v>
      </c>
      <c r="S154" s="4">
        <v>0</v>
      </c>
      <c r="T154" s="4">
        <v>33</v>
      </c>
      <c r="U154" s="4">
        <v>51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1936.94</v>
      </c>
      <c r="X154" s="4">
        <f>IF(ISERROR(VLOOKUP($U$154,'TAR FIN'!$A$1:$O$85,15,0)),0,VLOOKUP($U$154,'TAR FIN'!$A$1:$O$85,15,0))</f>
        <v>267.91000000000003</v>
      </c>
      <c r="Y154" s="4"/>
      <c r="Z154" s="4">
        <f ca="1">('TUSD BE'!$AM$11+'TUSD BF'!$AM$11+'TUSD CVA'!$AM$11)*1</f>
        <v>2207.1738391087315</v>
      </c>
      <c r="AA154" s="4">
        <f>('TE BE'!$AB$5+'TE BF'!$AB$5+'TE CVA'!$AB$5)*1</f>
        <v>185.42082399535556</v>
      </c>
      <c r="AB154" s="4">
        <f>$K$154*$V$154</f>
        <v>0</v>
      </c>
      <c r="AC154" s="4">
        <f>$M$154*$W$154</f>
        <v>19857.508880000001</v>
      </c>
      <c r="AD154" s="4">
        <f>$O$154*$X$154</f>
        <v>2746.6133200000004</v>
      </c>
      <c r="AE154" s="4">
        <f>$K$154*$Y$154</f>
        <v>0</v>
      </c>
      <c r="AF154" s="4">
        <f ca="1">$M$154*$Z$154</f>
        <v>22627.946198542715</v>
      </c>
      <c r="AG154" s="4">
        <f>$O$154*$AA$154</f>
        <v>1900.9342876003852</v>
      </c>
    </row>
    <row r="155" spans="1:33" ht="11.25" customHeight="1" x14ac:dyDescent="0.25">
      <c r="A155" s="3" t="s">
        <v>21</v>
      </c>
      <c r="B155" s="3" t="s">
        <v>35</v>
      </c>
      <c r="C155" s="3" t="s">
        <v>36</v>
      </c>
      <c r="D155" s="3" t="s">
        <v>34</v>
      </c>
      <c r="E155" s="3" t="s">
        <v>25</v>
      </c>
      <c r="F155" s="3" t="s">
        <v>25</v>
      </c>
      <c r="G155" s="3" t="s">
        <v>25</v>
      </c>
      <c r="H155" s="3" t="s">
        <v>37</v>
      </c>
      <c r="I155" s="6">
        <v>44501</v>
      </c>
      <c r="J155" s="4">
        <v>0</v>
      </c>
      <c r="K155" s="4">
        <v>0</v>
      </c>
      <c r="L155" s="4">
        <v>8.1809999999999992</v>
      </c>
      <c r="M155" s="4">
        <v>8.1809999999999992</v>
      </c>
      <c r="N155" s="4">
        <v>8.1809999999999992</v>
      </c>
      <c r="O155" s="4">
        <v>8.1809999999999992</v>
      </c>
      <c r="P155" s="4">
        <v>0</v>
      </c>
      <c r="Q155" s="3" t="s">
        <v>26</v>
      </c>
      <c r="R155" s="3">
        <v>0</v>
      </c>
      <c r="S155" s="4">
        <v>0</v>
      </c>
      <c r="T155" s="4">
        <v>33</v>
      </c>
      <c r="U155" s="4">
        <v>51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1936.94</v>
      </c>
      <c r="X155" s="4">
        <f>IF(ISERROR(VLOOKUP($U$155,'TAR FIN'!$A$1:$O$85,15,0)),0,VLOOKUP($U$155,'TAR FIN'!$A$1:$O$85,15,0))</f>
        <v>267.91000000000003</v>
      </c>
      <c r="Y155" s="4"/>
      <c r="Z155" s="4">
        <f ca="1">('TUSD BE'!$AM$11+'TUSD BF'!$AM$11+'TUSD CVA'!$AM$11)*1</f>
        <v>2207.1738391087315</v>
      </c>
      <c r="AA155" s="4">
        <f>('TE BE'!$AB$5+'TE BF'!$AB$5+'TE CVA'!$AB$5)*1</f>
        <v>185.42082399535556</v>
      </c>
      <c r="AB155" s="4">
        <f>$K$155*$V$155</f>
        <v>0</v>
      </c>
      <c r="AC155" s="4">
        <f>$M$155*$W$155</f>
        <v>15846.106139999998</v>
      </c>
      <c r="AD155" s="4">
        <f>$O$155*$X$155</f>
        <v>2191.77171</v>
      </c>
      <c r="AE155" s="4">
        <f>$K$155*$Y$155</f>
        <v>0</v>
      </c>
      <c r="AF155" s="4">
        <f ca="1">$M$155*$Z$155</f>
        <v>18056.88917774853</v>
      </c>
      <c r="AG155" s="4">
        <f>$O$155*$AA$155</f>
        <v>1516.9277611060038</v>
      </c>
    </row>
    <row r="156" spans="1:33" ht="11.25" customHeight="1" x14ac:dyDescent="0.25">
      <c r="A156" s="3" t="s">
        <v>21</v>
      </c>
      <c r="B156" s="3" t="s">
        <v>35</v>
      </c>
      <c r="C156" s="3" t="s">
        <v>36</v>
      </c>
      <c r="D156" s="3" t="s">
        <v>34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44531</v>
      </c>
      <c r="J156" s="4">
        <v>0</v>
      </c>
      <c r="K156" s="4">
        <v>0</v>
      </c>
      <c r="L156" s="4">
        <v>8.7870000000000008</v>
      </c>
      <c r="M156" s="4">
        <v>8.7870000000000008</v>
      </c>
      <c r="N156" s="4">
        <v>8.7870000000000008</v>
      </c>
      <c r="O156" s="4">
        <v>8.7870000000000008</v>
      </c>
      <c r="P156" s="4">
        <v>0</v>
      </c>
      <c r="Q156" s="3" t="s">
        <v>26</v>
      </c>
      <c r="R156" s="3">
        <v>0</v>
      </c>
      <c r="S156" s="4">
        <v>0</v>
      </c>
      <c r="T156" s="4">
        <v>33</v>
      </c>
      <c r="U156" s="4">
        <v>51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1936.94</v>
      </c>
      <c r="X156" s="4">
        <f>IF(ISERROR(VLOOKUP($U$156,'TAR FIN'!$A$1:$O$85,15,0)),0,VLOOKUP($U$156,'TAR FIN'!$A$1:$O$85,15,0))</f>
        <v>267.91000000000003</v>
      </c>
      <c r="Y156" s="4"/>
      <c r="Z156" s="4">
        <f ca="1">('TUSD BE'!$AM$11+'TUSD BF'!$AM$11+'TUSD CVA'!$AM$11)*1</f>
        <v>2207.1738391087315</v>
      </c>
      <c r="AA156" s="4">
        <f>('TE BE'!$AB$5+'TE BF'!$AB$5+'TE CVA'!$AB$5)*1</f>
        <v>185.42082399535556</v>
      </c>
      <c r="AB156" s="4">
        <f>$K$156*$V$156</f>
        <v>0</v>
      </c>
      <c r="AC156" s="4">
        <f>$M$156*$W$156</f>
        <v>17019.891780000002</v>
      </c>
      <c r="AD156" s="4">
        <f>$O$156*$X$156</f>
        <v>2354.1251700000003</v>
      </c>
      <c r="AE156" s="4">
        <f>$K$156*$Y$156</f>
        <v>0</v>
      </c>
      <c r="AF156" s="4">
        <f ca="1">$M$156*$Z$156</f>
        <v>19394.436524248424</v>
      </c>
      <c r="AG156" s="4">
        <f>$O$156*$AA$156</f>
        <v>1629.2927804471894</v>
      </c>
    </row>
    <row r="157" spans="1:33" ht="11.25" customHeight="1" x14ac:dyDescent="0.25">
      <c r="A157" s="3" t="s">
        <v>21</v>
      </c>
      <c r="B157" s="3" t="s">
        <v>35</v>
      </c>
      <c r="C157" s="3" t="s">
        <v>36</v>
      </c>
      <c r="D157" s="3" t="s">
        <v>34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44562</v>
      </c>
      <c r="J157" s="4">
        <v>0</v>
      </c>
      <c r="K157" s="4">
        <v>0</v>
      </c>
      <c r="L157" s="4">
        <v>7.4649999999999999</v>
      </c>
      <c r="M157" s="4">
        <v>7.4649999999999999</v>
      </c>
      <c r="N157" s="4">
        <v>7.4649999999999999</v>
      </c>
      <c r="O157" s="4">
        <v>7.4649999999999999</v>
      </c>
      <c r="P157" s="4">
        <v>0</v>
      </c>
      <c r="Q157" s="3" t="s">
        <v>26</v>
      </c>
      <c r="R157" s="3">
        <v>0</v>
      </c>
      <c r="S157" s="4">
        <v>0</v>
      </c>
      <c r="T157" s="4">
        <v>33</v>
      </c>
      <c r="U157" s="4">
        <v>51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1936.94</v>
      </c>
      <c r="X157" s="4">
        <f>IF(ISERROR(VLOOKUP($U$157,'TAR FIN'!$A$1:$O$85,15,0)),0,VLOOKUP($U$157,'TAR FIN'!$A$1:$O$85,15,0))</f>
        <v>267.91000000000003</v>
      </c>
      <c r="Y157" s="4"/>
      <c r="Z157" s="4">
        <f ca="1">('TUSD BE'!$AM$11+'TUSD BF'!$AM$11+'TUSD CVA'!$AM$11)*1</f>
        <v>2207.1738391087315</v>
      </c>
      <c r="AA157" s="4">
        <f>('TE BE'!$AB$5+'TE BF'!$AB$5+'TE CVA'!$AB$5)*1</f>
        <v>185.42082399535556</v>
      </c>
      <c r="AB157" s="4">
        <f>$K$157*$V$157</f>
        <v>0</v>
      </c>
      <c r="AC157" s="4">
        <f>$M$157*$W$157</f>
        <v>14459.257100000001</v>
      </c>
      <c r="AD157" s="4">
        <f>$O$157*$X$157</f>
        <v>1999.9481500000002</v>
      </c>
      <c r="AE157" s="4">
        <f>$K$157*$Y$157</f>
        <v>0</v>
      </c>
      <c r="AF157" s="4">
        <f ca="1">$M$157*$Z$157</f>
        <v>16476.552708946681</v>
      </c>
      <c r="AG157" s="4">
        <f>$O$157*$AA$157</f>
        <v>1384.1664511253293</v>
      </c>
    </row>
    <row r="158" spans="1:33" ht="11.25" customHeight="1" x14ac:dyDescent="0.25">
      <c r="A158" s="3" t="s">
        <v>21</v>
      </c>
      <c r="B158" s="3" t="s">
        <v>35</v>
      </c>
      <c r="C158" s="3" t="s">
        <v>36</v>
      </c>
      <c r="D158" s="3" t="s">
        <v>34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44593</v>
      </c>
      <c r="J158" s="4">
        <v>0</v>
      </c>
      <c r="K158" s="4">
        <v>0</v>
      </c>
      <c r="L158" s="4">
        <v>7.3520000000000003</v>
      </c>
      <c r="M158" s="4">
        <v>7.3520000000000003</v>
      </c>
      <c r="N158" s="4">
        <v>7.3520000000000003</v>
      </c>
      <c r="O158" s="4">
        <v>7.3520000000000003</v>
      </c>
      <c r="P158" s="4">
        <v>0</v>
      </c>
      <c r="Q158" s="3" t="s">
        <v>26</v>
      </c>
      <c r="R158" s="3">
        <v>0</v>
      </c>
      <c r="S158" s="4">
        <v>0</v>
      </c>
      <c r="T158" s="4">
        <v>33</v>
      </c>
      <c r="U158" s="4">
        <v>51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1936.94</v>
      </c>
      <c r="X158" s="4">
        <f>IF(ISERROR(VLOOKUP($U$158,'TAR FIN'!$A$1:$O$85,15,0)),0,VLOOKUP($U$158,'TAR FIN'!$A$1:$O$85,15,0))</f>
        <v>267.91000000000003</v>
      </c>
      <c r="Y158" s="4"/>
      <c r="Z158" s="4">
        <f ca="1">('TUSD BE'!$AM$11+'TUSD BF'!$AM$11+'TUSD CVA'!$AM$11)*1</f>
        <v>2207.1738391087315</v>
      </c>
      <c r="AA158" s="4">
        <f>('TE BE'!$AB$5+'TE BF'!$AB$5+'TE CVA'!$AB$5)*1</f>
        <v>185.42082399535556</v>
      </c>
      <c r="AB158" s="4">
        <f>$K$158*$V$158</f>
        <v>0</v>
      </c>
      <c r="AC158" s="4">
        <f>$M$158*$W$158</f>
        <v>14240.382880000001</v>
      </c>
      <c r="AD158" s="4">
        <f>$O$158*$X$158</f>
        <v>1969.6743200000003</v>
      </c>
      <c r="AE158" s="4">
        <f>$K$158*$Y$158</f>
        <v>0</v>
      </c>
      <c r="AF158" s="4">
        <f ca="1">$M$158*$Z$158</f>
        <v>16227.142065127395</v>
      </c>
      <c r="AG158" s="4">
        <f>$O$158*$AA$158</f>
        <v>1363.2138980138541</v>
      </c>
    </row>
    <row r="159" spans="1:33" ht="11.25" customHeight="1" x14ac:dyDescent="0.25">
      <c r="A159" s="3" t="s">
        <v>21</v>
      </c>
      <c r="B159" s="3" t="s">
        <v>35</v>
      </c>
      <c r="C159" s="3" t="s">
        <v>36</v>
      </c>
      <c r="D159" s="3" t="s">
        <v>34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44621</v>
      </c>
      <c r="J159" s="4">
        <v>0</v>
      </c>
      <c r="K159" s="4">
        <v>0</v>
      </c>
      <c r="L159" s="4">
        <v>9.6989999999999998</v>
      </c>
      <c r="M159" s="4">
        <v>9.6989999999999998</v>
      </c>
      <c r="N159" s="4">
        <v>9.6989999999999998</v>
      </c>
      <c r="O159" s="4">
        <v>9.6989999999999998</v>
      </c>
      <c r="P159" s="4">
        <v>0</v>
      </c>
      <c r="Q159" s="3" t="s">
        <v>26</v>
      </c>
      <c r="R159" s="3">
        <v>0</v>
      </c>
      <c r="S159" s="4">
        <v>0</v>
      </c>
      <c r="T159" s="4">
        <v>33</v>
      </c>
      <c r="U159" s="4">
        <v>51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1936.94</v>
      </c>
      <c r="X159" s="4">
        <f>IF(ISERROR(VLOOKUP($U$159,'TAR FIN'!$A$1:$O$85,15,0)),0,VLOOKUP($U$159,'TAR FIN'!$A$1:$O$85,15,0))</f>
        <v>267.91000000000003</v>
      </c>
      <c r="Y159" s="4"/>
      <c r="Z159" s="4">
        <f ca="1">('TUSD BE'!$AM$11+'TUSD BF'!$AM$11+'TUSD CVA'!$AM$11)*1</f>
        <v>2207.1738391087315</v>
      </c>
      <c r="AA159" s="4">
        <f>('TE BE'!$AB$5+'TE BF'!$AB$5+'TE CVA'!$AB$5)*1</f>
        <v>185.42082399535556</v>
      </c>
      <c r="AB159" s="4">
        <f>$K$159*$V$159</f>
        <v>0</v>
      </c>
      <c r="AC159" s="4">
        <f>$M$159*$W$159</f>
        <v>18786.38106</v>
      </c>
      <c r="AD159" s="4">
        <f>$O$159*$X$159</f>
        <v>2598.4590900000003</v>
      </c>
      <c r="AE159" s="4">
        <f>$K$159*$Y$159</f>
        <v>0</v>
      </c>
      <c r="AF159" s="4">
        <f ca="1">$M$159*$Z$159</f>
        <v>21407.379065515586</v>
      </c>
      <c r="AG159" s="4">
        <f>$O$159*$AA$159</f>
        <v>1798.3965719309535</v>
      </c>
    </row>
    <row r="160" spans="1:33" ht="11.25" customHeight="1" x14ac:dyDescent="0.25">
      <c r="A160" s="3" t="s">
        <v>21</v>
      </c>
      <c r="B160" s="3" t="s">
        <v>35</v>
      </c>
      <c r="C160" s="3" t="s">
        <v>36</v>
      </c>
      <c r="D160" s="3" t="s">
        <v>34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44652</v>
      </c>
      <c r="J160" s="4">
        <v>0</v>
      </c>
      <c r="K160" s="4">
        <v>0</v>
      </c>
      <c r="L160" s="4">
        <v>11.846</v>
      </c>
      <c r="M160" s="4">
        <v>11.846</v>
      </c>
      <c r="N160" s="4">
        <v>11.846</v>
      </c>
      <c r="O160" s="4">
        <v>11.846</v>
      </c>
      <c r="P160" s="4">
        <v>0</v>
      </c>
      <c r="Q160" s="3" t="s">
        <v>26</v>
      </c>
      <c r="R160" s="3">
        <v>0</v>
      </c>
      <c r="S160" s="4">
        <v>0</v>
      </c>
      <c r="T160" s="4">
        <v>33</v>
      </c>
      <c r="U160" s="4">
        <v>51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1936.94</v>
      </c>
      <c r="X160" s="4">
        <f>IF(ISERROR(VLOOKUP($U$160,'TAR FIN'!$A$1:$O$85,15,0)),0,VLOOKUP($U$160,'TAR FIN'!$A$1:$O$85,15,0))</f>
        <v>267.91000000000003</v>
      </c>
      <c r="Y160" s="4"/>
      <c r="Z160" s="4">
        <f ca="1">('TUSD BE'!$AM$11+'TUSD BF'!$AM$11+'TUSD CVA'!$AM$11)*1</f>
        <v>2207.1738391087315</v>
      </c>
      <c r="AA160" s="4">
        <f>('TE BE'!$AB$5+'TE BF'!$AB$5+'TE CVA'!$AB$5)*1</f>
        <v>185.42082399535556</v>
      </c>
      <c r="AB160" s="4">
        <f>$K$160*$V$160</f>
        <v>0</v>
      </c>
      <c r="AC160" s="4">
        <f>$M$160*$W$160</f>
        <v>22944.991239999999</v>
      </c>
      <c r="AD160" s="4">
        <f>$O$160*$X$160</f>
        <v>3173.6618600000002</v>
      </c>
      <c r="AE160" s="4">
        <f>$K$160*$Y$160</f>
        <v>0</v>
      </c>
      <c r="AF160" s="4">
        <f ca="1">$M$160*$Z$160</f>
        <v>26146.181298082032</v>
      </c>
      <c r="AG160" s="4">
        <f>$O$160*$AA$160</f>
        <v>2196.4950810489822</v>
      </c>
    </row>
    <row r="161" spans="1:33" ht="11.25" customHeight="1" x14ac:dyDescent="0.25">
      <c r="A161" s="3" t="s">
        <v>21</v>
      </c>
      <c r="B161" s="3" t="s">
        <v>35</v>
      </c>
      <c r="C161" s="3" t="s">
        <v>36</v>
      </c>
      <c r="D161" s="3" t="s">
        <v>34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44682</v>
      </c>
      <c r="J161" s="4">
        <v>0</v>
      </c>
      <c r="K161" s="4">
        <v>0</v>
      </c>
      <c r="L161" s="4">
        <v>4.2039999999999997</v>
      </c>
      <c r="M161" s="4">
        <v>4.2039999999999997</v>
      </c>
      <c r="N161" s="4">
        <v>4.2039999999999997</v>
      </c>
      <c r="O161" s="4">
        <v>4.2039999999999997</v>
      </c>
      <c r="P161" s="4">
        <v>0</v>
      </c>
      <c r="Q161" s="3" t="s">
        <v>26</v>
      </c>
      <c r="R161" s="3">
        <v>0</v>
      </c>
      <c r="S161" s="4">
        <v>0</v>
      </c>
      <c r="T161" s="4">
        <v>33</v>
      </c>
      <c r="U161" s="4">
        <v>51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1936.94</v>
      </c>
      <c r="X161" s="4">
        <f>IF(ISERROR(VLOOKUP($U$161,'TAR FIN'!$A$1:$O$85,15,0)),0,VLOOKUP($U$161,'TAR FIN'!$A$1:$O$85,15,0))</f>
        <v>267.91000000000003</v>
      </c>
      <c r="Y161" s="4"/>
      <c r="Z161" s="4">
        <f ca="1">('TUSD BE'!$AM$11+'TUSD BF'!$AM$11+'TUSD CVA'!$AM$11)*1</f>
        <v>2207.1738391087315</v>
      </c>
      <c r="AA161" s="4">
        <f>('TE BE'!$AB$5+'TE BF'!$AB$5+'TE CVA'!$AB$5)*1</f>
        <v>185.42082399535556</v>
      </c>
      <c r="AB161" s="4">
        <f>$K$161*$V$161</f>
        <v>0</v>
      </c>
      <c r="AC161" s="4">
        <f>$M$161*$W$161</f>
        <v>8142.8957599999994</v>
      </c>
      <c r="AD161" s="4">
        <f>$O$161*$X$161</f>
        <v>1126.2936400000001</v>
      </c>
      <c r="AE161" s="4">
        <f>$K$161*$Y$161</f>
        <v>0</v>
      </c>
      <c r="AF161" s="4">
        <f ca="1">$M$161*$Z$161</f>
        <v>9278.9588196131062</v>
      </c>
      <c r="AG161" s="4">
        <f>$O$161*$AA$161</f>
        <v>779.50914407647474</v>
      </c>
    </row>
    <row r="162" spans="1:33" ht="11.25" customHeight="1" x14ac:dyDescent="0.25">
      <c r="A162" s="3" t="s">
        <v>21</v>
      </c>
      <c r="B162" s="3" t="s">
        <v>35</v>
      </c>
      <c r="C162" s="3" t="s">
        <v>36</v>
      </c>
      <c r="D162" s="3" t="s">
        <v>34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44713</v>
      </c>
      <c r="J162" s="4">
        <v>0</v>
      </c>
      <c r="K162" s="4">
        <v>0</v>
      </c>
      <c r="L162" s="4">
        <v>3.673</v>
      </c>
      <c r="M162" s="4">
        <v>3.673</v>
      </c>
      <c r="N162" s="4">
        <v>3.673</v>
      </c>
      <c r="O162" s="4">
        <v>3.673</v>
      </c>
      <c r="P162" s="4">
        <v>0</v>
      </c>
      <c r="Q162" s="3" t="s">
        <v>26</v>
      </c>
      <c r="R162" s="3">
        <v>0</v>
      </c>
      <c r="S162" s="4">
        <v>0</v>
      </c>
      <c r="T162" s="4">
        <v>33</v>
      </c>
      <c r="U162" s="4">
        <v>51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1936.94</v>
      </c>
      <c r="X162" s="4">
        <f>IF(ISERROR(VLOOKUP($U$162,'TAR FIN'!$A$1:$O$85,15,0)),0,VLOOKUP($U$162,'TAR FIN'!$A$1:$O$85,15,0))</f>
        <v>267.91000000000003</v>
      </c>
      <c r="Y162" s="4"/>
      <c r="Z162" s="4">
        <f ca="1">('TUSD BE'!$AM$11+'TUSD BF'!$AM$11+'TUSD CVA'!$AM$11)*1</f>
        <v>2207.1738391087315</v>
      </c>
      <c r="AA162" s="4">
        <f>('TE BE'!$AB$5+'TE BF'!$AB$5+'TE CVA'!$AB$5)*1</f>
        <v>185.42082399535556</v>
      </c>
      <c r="AB162" s="4">
        <f>$K$162*$V$162</f>
        <v>0</v>
      </c>
      <c r="AC162" s="4">
        <f>$M$162*$W$162</f>
        <v>7114.3806199999999</v>
      </c>
      <c r="AD162" s="4">
        <f>$O$162*$X$162</f>
        <v>984.03343000000007</v>
      </c>
      <c r="AE162" s="4">
        <f>$K$162*$Y$162</f>
        <v>0</v>
      </c>
      <c r="AF162" s="4">
        <f ca="1">$M$162*$Z$162</f>
        <v>8106.9495110463713</v>
      </c>
      <c r="AG162" s="4">
        <f>$O$162*$AA$162</f>
        <v>681.05068653494095</v>
      </c>
    </row>
    <row r="163" spans="1:33" ht="11.25" customHeight="1" x14ac:dyDescent="0.25">
      <c r="A163" s="3" t="s">
        <v>21</v>
      </c>
      <c r="B163" s="3" t="s">
        <v>35</v>
      </c>
      <c r="C163" s="3" t="s">
        <v>36</v>
      </c>
      <c r="D163" s="3" t="s">
        <v>34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44743</v>
      </c>
      <c r="J163" s="4">
        <v>0</v>
      </c>
      <c r="K163" s="4">
        <v>0</v>
      </c>
      <c r="L163" s="4">
        <v>3.6440000000000001</v>
      </c>
      <c r="M163" s="4">
        <v>3.6440000000000001</v>
      </c>
      <c r="N163" s="4">
        <v>3.6440000000000001</v>
      </c>
      <c r="O163" s="4">
        <v>3.6440000000000001</v>
      </c>
      <c r="P163" s="4">
        <v>0</v>
      </c>
      <c r="Q163" s="3" t="s">
        <v>26</v>
      </c>
      <c r="R163" s="3">
        <v>0</v>
      </c>
      <c r="S163" s="4">
        <v>0</v>
      </c>
      <c r="T163" s="4">
        <v>33</v>
      </c>
      <c r="U163" s="4">
        <v>51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1936.94</v>
      </c>
      <c r="X163" s="4">
        <f>IF(ISERROR(VLOOKUP($U$163,'TAR FIN'!$A$1:$O$85,15,0)),0,VLOOKUP($U$163,'TAR FIN'!$A$1:$O$85,15,0))</f>
        <v>267.91000000000003</v>
      </c>
      <c r="Y163" s="4"/>
      <c r="Z163" s="4">
        <f ca="1">('TUSD BE'!$AM$11+'TUSD BF'!$AM$11+'TUSD CVA'!$AM$11)*1</f>
        <v>2207.1738391087315</v>
      </c>
      <c r="AA163" s="4">
        <f>('TE BE'!$AB$5+'TE BF'!$AB$5+'TE CVA'!$AB$5)*1</f>
        <v>185.42082399535556</v>
      </c>
      <c r="AB163" s="4">
        <f>$K$163*$V$163</f>
        <v>0</v>
      </c>
      <c r="AC163" s="4">
        <f>$M$163*$W$163</f>
        <v>7058.2093600000007</v>
      </c>
      <c r="AD163" s="4">
        <f>$O$163*$X$163</f>
        <v>976.26404000000014</v>
      </c>
      <c r="AE163" s="4">
        <f>$K$163*$Y$163</f>
        <v>0</v>
      </c>
      <c r="AF163" s="4">
        <f ca="1">$M$163*$Z$163</f>
        <v>8042.9414697122174</v>
      </c>
      <c r="AG163" s="4">
        <f>$O$163*$AA$163</f>
        <v>675.6734826390757</v>
      </c>
    </row>
    <row r="164" spans="1:33" ht="11.25" customHeight="1" x14ac:dyDescent="0.25">
      <c r="A164" s="3" t="s">
        <v>21</v>
      </c>
      <c r="B164" s="3" t="s">
        <v>35</v>
      </c>
      <c r="C164" s="3" t="s">
        <v>36</v>
      </c>
      <c r="D164" s="3" t="s">
        <v>34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44774</v>
      </c>
      <c r="J164" s="4">
        <v>0</v>
      </c>
      <c r="K164" s="4">
        <v>0</v>
      </c>
      <c r="L164" s="4">
        <v>4.8970000000000002</v>
      </c>
      <c r="M164" s="4">
        <v>4.8970000000000002</v>
      </c>
      <c r="N164" s="4">
        <v>4.8970000000000002</v>
      </c>
      <c r="O164" s="4">
        <v>4.8970000000000002</v>
      </c>
      <c r="P164" s="4">
        <v>0</v>
      </c>
      <c r="Q164" s="3" t="s">
        <v>26</v>
      </c>
      <c r="R164" s="3">
        <v>0</v>
      </c>
      <c r="S164" s="4">
        <v>0</v>
      </c>
      <c r="T164" s="4">
        <v>33</v>
      </c>
      <c r="U164" s="4">
        <v>51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1936.94</v>
      </c>
      <c r="X164" s="4">
        <f>IF(ISERROR(VLOOKUP($U$164,'TAR FIN'!$A$1:$O$85,15,0)),0,VLOOKUP($U$164,'TAR FIN'!$A$1:$O$85,15,0))</f>
        <v>267.91000000000003</v>
      </c>
      <c r="Y164" s="4"/>
      <c r="Z164" s="4">
        <f ca="1">('TUSD BE'!$AM$11+'TUSD BF'!$AM$11+'TUSD CVA'!$AM$11)*1</f>
        <v>2207.1738391087315</v>
      </c>
      <c r="AA164" s="4">
        <f>('TE BE'!$AB$5+'TE BF'!$AB$5+'TE CVA'!$AB$5)*1</f>
        <v>185.42082399535556</v>
      </c>
      <c r="AB164" s="4">
        <f>$K$164*$V$164</f>
        <v>0</v>
      </c>
      <c r="AC164" s="4">
        <f>$M$164*$W$164</f>
        <v>9485.1951800000006</v>
      </c>
      <c r="AD164" s="4">
        <f>$O$164*$X$164</f>
        <v>1311.9552700000002</v>
      </c>
      <c r="AE164" s="4">
        <f>$K$164*$Y$164</f>
        <v>0</v>
      </c>
      <c r="AF164" s="4">
        <f ca="1">$M$164*$Z$164</f>
        <v>10808.530290115459</v>
      </c>
      <c r="AG164" s="4">
        <f>$O$164*$AA$164</f>
        <v>908.00577510525625</v>
      </c>
    </row>
    <row r="165" spans="1:33" ht="11.25" customHeight="1" x14ac:dyDescent="0.25">
      <c r="A165" s="3" t="s">
        <v>21</v>
      </c>
      <c r="B165" s="3" t="s">
        <v>35</v>
      </c>
      <c r="C165" s="3" t="s">
        <v>36</v>
      </c>
      <c r="D165" s="3" t="s">
        <v>41</v>
      </c>
      <c r="E165" s="3" t="s">
        <v>50</v>
      </c>
      <c r="F165" s="3" t="s">
        <v>52</v>
      </c>
      <c r="G165" s="3" t="s">
        <v>25</v>
      </c>
      <c r="H165" s="3" t="s">
        <v>38</v>
      </c>
      <c r="I165" s="6">
        <v>44440</v>
      </c>
      <c r="J165" s="4">
        <v>0</v>
      </c>
      <c r="K165" s="4">
        <v>0</v>
      </c>
      <c r="L165" s="4">
        <v>554.65700000000004</v>
      </c>
      <c r="M165" s="4">
        <v>166.39709999999999</v>
      </c>
      <c r="N165" s="4">
        <v>554.65700000000004</v>
      </c>
      <c r="O165" s="4">
        <v>166.39709999999999</v>
      </c>
      <c r="P165" s="4">
        <v>0</v>
      </c>
      <c r="Q165" s="3" t="s">
        <v>26</v>
      </c>
      <c r="R165" s="3">
        <v>0</v>
      </c>
      <c r="S165" s="4">
        <v>0</v>
      </c>
      <c r="T165" s="4">
        <v>15</v>
      </c>
      <c r="U165" s="4">
        <v>67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56.92</v>
      </c>
      <c r="X165" s="4">
        <f>IF(ISERROR(VLOOKUP($U$165,'TAR FIN'!$A$1:$O$85,15,0)),0,VLOOKUP($U$165,'TAR FIN'!$A$1:$O$85,15,0))</f>
        <v>267.91000000000003</v>
      </c>
      <c r="Y165" s="4"/>
      <c r="Z165" s="4">
        <f ca="1">('TUSD BE'!$AM$12+'TUSD BF'!$AM$12+'TUSD CVA'!$AM$12)*1</f>
        <v>100.14715657738388</v>
      </c>
      <c r="AA165" s="4">
        <f>('TE BE'!$AB$6+'TE BF'!$AB$6+'TE CVA'!$AB$6)*1</f>
        <v>185.42082399535556</v>
      </c>
      <c r="AB165" s="4">
        <f>$K$165*$V$165</f>
        <v>0</v>
      </c>
      <c r="AC165" s="4">
        <f>$M$165*$W$165</f>
        <v>9471.3229319999991</v>
      </c>
      <c r="AD165" s="4">
        <f>$O$165*$X$165</f>
        <v>44579.447061000006</v>
      </c>
      <c r="AE165" s="4">
        <f>$K$165*$Y$165</f>
        <v>0</v>
      </c>
      <c r="AF165" s="4">
        <f ca="1">$M$165*$Z$165</f>
        <v>16664.196427722603</v>
      </c>
      <c r="AG165" s="4">
        <f>$O$165*$AA$165</f>
        <v>30853.487392437579</v>
      </c>
    </row>
    <row r="166" spans="1:33" ht="11.25" customHeight="1" x14ac:dyDescent="0.25">
      <c r="A166" s="3" t="s">
        <v>21</v>
      </c>
      <c r="B166" s="3" t="s">
        <v>35</v>
      </c>
      <c r="C166" s="3" t="s">
        <v>36</v>
      </c>
      <c r="D166" s="3" t="s">
        <v>41</v>
      </c>
      <c r="E166" s="3" t="s">
        <v>50</v>
      </c>
      <c r="F166" s="3" t="s">
        <v>52</v>
      </c>
      <c r="G166" s="3" t="s">
        <v>25</v>
      </c>
      <c r="H166" s="3" t="s">
        <v>38</v>
      </c>
      <c r="I166" s="6">
        <v>44470</v>
      </c>
      <c r="J166" s="4">
        <v>0</v>
      </c>
      <c r="K166" s="4">
        <v>0</v>
      </c>
      <c r="L166" s="4">
        <v>206.7</v>
      </c>
      <c r="M166" s="4">
        <v>62.01</v>
      </c>
      <c r="N166" s="4">
        <v>206.7</v>
      </c>
      <c r="O166" s="4">
        <v>62.01</v>
      </c>
      <c r="P166" s="4">
        <v>0</v>
      </c>
      <c r="Q166" s="3" t="s">
        <v>26</v>
      </c>
      <c r="R166" s="3">
        <v>0</v>
      </c>
      <c r="S166" s="4">
        <v>0</v>
      </c>
      <c r="T166" s="4">
        <v>15</v>
      </c>
      <c r="U166" s="4">
        <v>67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56.92</v>
      </c>
      <c r="X166" s="4">
        <f>IF(ISERROR(VLOOKUP($U$166,'TAR FIN'!$A$1:$O$85,15,0)),0,VLOOKUP($U$166,'TAR FIN'!$A$1:$O$85,15,0))</f>
        <v>267.91000000000003</v>
      </c>
      <c r="Y166" s="4"/>
      <c r="Z166" s="4">
        <f ca="1">('TUSD BE'!$AM$12+'TUSD BF'!$AM$12+'TUSD CVA'!$AM$12)*1</f>
        <v>100.14715657738388</v>
      </c>
      <c r="AA166" s="4">
        <f>('TE BE'!$AB$6+'TE BF'!$AB$6+'TE CVA'!$AB$6)*1</f>
        <v>185.42082399535556</v>
      </c>
      <c r="AB166" s="4">
        <f>$K$166*$V$166</f>
        <v>0</v>
      </c>
      <c r="AC166" s="4">
        <f>$M$166*$W$166</f>
        <v>3529.6091999999999</v>
      </c>
      <c r="AD166" s="4">
        <f>$O$166*$X$166</f>
        <v>16613.099099999999</v>
      </c>
      <c r="AE166" s="4">
        <f>$K$166*$Y$166</f>
        <v>0</v>
      </c>
      <c r="AF166" s="4">
        <f ca="1">$M$166*$Z$166</f>
        <v>6210.1251793635747</v>
      </c>
      <c r="AG166" s="4">
        <f>$O$166*$AA$166</f>
        <v>11497.945295951999</v>
      </c>
    </row>
    <row r="167" spans="1:33" ht="11.25" customHeight="1" x14ac:dyDescent="0.25">
      <c r="A167" s="3" t="s">
        <v>21</v>
      </c>
      <c r="B167" s="3" t="s">
        <v>35</v>
      </c>
      <c r="C167" s="3" t="s">
        <v>36</v>
      </c>
      <c r="D167" s="3" t="s">
        <v>41</v>
      </c>
      <c r="E167" s="3" t="s">
        <v>50</v>
      </c>
      <c r="F167" s="3" t="s">
        <v>52</v>
      </c>
      <c r="G167" s="3" t="s">
        <v>25</v>
      </c>
      <c r="H167" s="3" t="s">
        <v>38</v>
      </c>
      <c r="I167" s="6">
        <v>44501</v>
      </c>
      <c r="J167" s="4">
        <v>0</v>
      </c>
      <c r="K167" s="4">
        <v>0</v>
      </c>
      <c r="L167" s="4">
        <v>97.808000000000007</v>
      </c>
      <c r="M167" s="4">
        <v>29.342400000000001</v>
      </c>
      <c r="N167" s="4">
        <v>97.808000000000007</v>
      </c>
      <c r="O167" s="4">
        <v>29.342400000000001</v>
      </c>
      <c r="P167" s="4">
        <v>0</v>
      </c>
      <c r="Q167" s="3" t="s">
        <v>26</v>
      </c>
      <c r="R167" s="3">
        <v>0</v>
      </c>
      <c r="S167" s="4">
        <v>0</v>
      </c>
      <c r="T167" s="4">
        <v>15</v>
      </c>
      <c r="U167" s="4">
        <v>67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56.92</v>
      </c>
      <c r="X167" s="4">
        <f>IF(ISERROR(VLOOKUP($U$167,'TAR FIN'!$A$1:$O$85,15,0)),0,VLOOKUP($U$167,'TAR FIN'!$A$1:$O$85,15,0))</f>
        <v>267.91000000000003</v>
      </c>
      <c r="Y167" s="4"/>
      <c r="Z167" s="4">
        <f ca="1">('TUSD BE'!$AM$12+'TUSD BF'!$AM$12+'TUSD CVA'!$AM$12)*1</f>
        <v>100.14715657738388</v>
      </c>
      <c r="AA167" s="4">
        <f>('TE BE'!$AB$6+'TE BF'!$AB$6+'TE CVA'!$AB$6)*1</f>
        <v>185.42082399535556</v>
      </c>
      <c r="AB167" s="4">
        <f>$K$167*$V$167</f>
        <v>0</v>
      </c>
      <c r="AC167" s="4">
        <f>$M$167*$W$167</f>
        <v>1670.1694080000002</v>
      </c>
      <c r="AD167" s="4">
        <f>$O$167*$X$167</f>
        <v>7861.1223840000011</v>
      </c>
      <c r="AE167" s="4">
        <f>$K$167*$Y$167</f>
        <v>0</v>
      </c>
      <c r="AF167" s="4">
        <f ca="1">$M$167*$Z$167</f>
        <v>2938.5579271562287</v>
      </c>
      <c r="AG167" s="4">
        <f>$O$167*$AA$167</f>
        <v>5440.6919860013213</v>
      </c>
    </row>
    <row r="168" spans="1:33" ht="11.25" customHeight="1" x14ac:dyDescent="0.25">
      <c r="A168" s="3" t="s">
        <v>21</v>
      </c>
      <c r="B168" s="3" t="s">
        <v>35</v>
      </c>
      <c r="C168" s="3" t="s">
        <v>36</v>
      </c>
      <c r="D168" s="3" t="s">
        <v>41</v>
      </c>
      <c r="E168" s="3" t="s">
        <v>50</v>
      </c>
      <c r="F168" s="3" t="s">
        <v>52</v>
      </c>
      <c r="G168" s="3" t="s">
        <v>25</v>
      </c>
      <c r="H168" s="3" t="s">
        <v>38</v>
      </c>
      <c r="I168" s="6">
        <v>44531</v>
      </c>
      <c r="J168" s="4">
        <v>0</v>
      </c>
      <c r="K168" s="4">
        <v>0</v>
      </c>
      <c r="L168" s="4">
        <v>49.88</v>
      </c>
      <c r="M168" s="4">
        <v>14.964</v>
      </c>
      <c r="N168" s="4">
        <v>49.88</v>
      </c>
      <c r="O168" s="4">
        <v>14.964</v>
      </c>
      <c r="P168" s="4">
        <v>0</v>
      </c>
      <c r="Q168" s="3" t="s">
        <v>26</v>
      </c>
      <c r="R168" s="3">
        <v>0</v>
      </c>
      <c r="S168" s="4">
        <v>0</v>
      </c>
      <c r="T168" s="4">
        <v>15</v>
      </c>
      <c r="U168" s="4">
        <v>67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56.92</v>
      </c>
      <c r="X168" s="4">
        <f>IF(ISERROR(VLOOKUP($U$168,'TAR FIN'!$A$1:$O$85,15,0)),0,VLOOKUP($U$168,'TAR FIN'!$A$1:$O$85,15,0))</f>
        <v>267.91000000000003</v>
      </c>
      <c r="Y168" s="4"/>
      <c r="Z168" s="4">
        <f ca="1">('TUSD BE'!$AM$12+'TUSD BF'!$AM$12+'TUSD CVA'!$AM$12)*1</f>
        <v>100.14715657738388</v>
      </c>
      <c r="AA168" s="4">
        <f>('TE BE'!$AB$6+'TE BF'!$AB$6+'TE CVA'!$AB$6)*1</f>
        <v>185.42082399535556</v>
      </c>
      <c r="AB168" s="4">
        <f>$K$168*$V$168</f>
        <v>0</v>
      </c>
      <c r="AC168" s="4">
        <f>$M$168*$W$168</f>
        <v>851.75088000000005</v>
      </c>
      <c r="AD168" s="4">
        <f>$O$168*$X$168</f>
        <v>4009.0052400000004</v>
      </c>
      <c r="AE168" s="4">
        <f>$K$168*$Y$168</f>
        <v>0</v>
      </c>
      <c r="AF168" s="4">
        <f ca="1">$M$168*$Z$168</f>
        <v>1498.6020510239725</v>
      </c>
      <c r="AG168" s="4">
        <f>$O$168*$AA$168</f>
        <v>2774.6372102665009</v>
      </c>
    </row>
    <row r="169" spans="1:33" ht="11.25" customHeight="1" x14ac:dyDescent="0.25">
      <c r="A169" s="3" t="s">
        <v>21</v>
      </c>
      <c r="B169" s="3" t="s">
        <v>35</v>
      </c>
      <c r="C169" s="3" t="s">
        <v>36</v>
      </c>
      <c r="D169" s="3" t="s">
        <v>41</v>
      </c>
      <c r="E169" s="3" t="s">
        <v>50</v>
      </c>
      <c r="F169" s="3" t="s">
        <v>52</v>
      </c>
      <c r="G169" s="3" t="s">
        <v>25</v>
      </c>
      <c r="H169" s="3" t="s">
        <v>38</v>
      </c>
      <c r="I169" s="6">
        <v>44562</v>
      </c>
      <c r="J169" s="4">
        <v>0</v>
      </c>
      <c r="K169" s="4">
        <v>0</v>
      </c>
      <c r="L169" s="4">
        <v>35.671999999999997</v>
      </c>
      <c r="M169" s="4">
        <v>10.701599999999999</v>
      </c>
      <c r="N169" s="4">
        <v>35.671999999999997</v>
      </c>
      <c r="O169" s="4">
        <v>10.701599999999999</v>
      </c>
      <c r="P169" s="4">
        <v>0</v>
      </c>
      <c r="Q169" s="3" t="s">
        <v>26</v>
      </c>
      <c r="R169" s="3">
        <v>0</v>
      </c>
      <c r="S169" s="4">
        <v>0</v>
      </c>
      <c r="T169" s="4">
        <v>15</v>
      </c>
      <c r="U169" s="4">
        <v>67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56.92</v>
      </c>
      <c r="X169" s="4">
        <f>IF(ISERROR(VLOOKUP($U$169,'TAR FIN'!$A$1:$O$85,15,0)),0,VLOOKUP($U$169,'TAR FIN'!$A$1:$O$85,15,0))</f>
        <v>267.91000000000003</v>
      </c>
      <c r="Y169" s="4"/>
      <c r="Z169" s="4">
        <f ca="1">('TUSD BE'!$AM$12+'TUSD BF'!$AM$12+'TUSD CVA'!$AM$12)*1</f>
        <v>100.14715657738388</v>
      </c>
      <c r="AA169" s="4">
        <f>('TE BE'!$AB$6+'TE BF'!$AB$6+'TE CVA'!$AB$6)*1</f>
        <v>185.42082399535556</v>
      </c>
      <c r="AB169" s="4">
        <f>$K$169*$V$169</f>
        <v>0</v>
      </c>
      <c r="AC169" s="4">
        <f>$M$169*$W$169</f>
        <v>609.13507199999992</v>
      </c>
      <c r="AD169" s="4">
        <f>$O$169*$X$169</f>
        <v>2867.0656560000002</v>
      </c>
      <c r="AE169" s="4">
        <f>$K$169*$Y$169</f>
        <v>0</v>
      </c>
      <c r="AF169" s="4">
        <f ca="1">$M$169*$Z$169</f>
        <v>1071.7348108285312</v>
      </c>
      <c r="AG169" s="4">
        <f>$O$169*$AA$169</f>
        <v>1984.299490068697</v>
      </c>
    </row>
    <row r="170" spans="1:33" ht="11.25" customHeight="1" x14ac:dyDescent="0.25">
      <c r="A170" s="3" t="s">
        <v>21</v>
      </c>
      <c r="B170" s="3" t="s">
        <v>35</v>
      </c>
      <c r="C170" s="3" t="s">
        <v>36</v>
      </c>
      <c r="D170" s="3" t="s">
        <v>41</v>
      </c>
      <c r="E170" s="3" t="s">
        <v>50</v>
      </c>
      <c r="F170" s="3" t="s">
        <v>52</v>
      </c>
      <c r="G170" s="3" t="s">
        <v>25</v>
      </c>
      <c r="H170" s="3" t="s">
        <v>38</v>
      </c>
      <c r="I170" s="6">
        <v>44593</v>
      </c>
      <c r="J170" s="4">
        <v>0</v>
      </c>
      <c r="K170" s="4">
        <v>0</v>
      </c>
      <c r="L170" s="4">
        <v>72.75</v>
      </c>
      <c r="M170" s="4">
        <v>21.824999999999999</v>
      </c>
      <c r="N170" s="4">
        <v>72.75</v>
      </c>
      <c r="O170" s="4">
        <v>21.824999999999999</v>
      </c>
      <c r="P170" s="4">
        <v>0</v>
      </c>
      <c r="Q170" s="3" t="s">
        <v>26</v>
      </c>
      <c r="R170" s="3">
        <v>0</v>
      </c>
      <c r="S170" s="4">
        <v>0</v>
      </c>
      <c r="T170" s="4">
        <v>15</v>
      </c>
      <c r="U170" s="4">
        <v>67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56.92</v>
      </c>
      <c r="X170" s="4">
        <f>IF(ISERROR(VLOOKUP($U$170,'TAR FIN'!$A$1:$O$85,15,0)),0,VLOOKUP($U$170,'TAR FIN'!$A$1:$O$85,15,0))</f>
        <v>267.91000000000003</v>
      </c>
      <c r="Y170" s="4"/>
      <c r="Z170" s="4">
        <f ca="1">('TUSD BE'!$AM$12+'TUSD BF'!$AM$12+'TUSD CVA'!$AM$12)*1</f>
        <v>100.14715657738388</v>
      </c>
      <c r="AA170" s="4">
        <f>('TE BE'!$AB$6+'TE BF'!$AB$6+'TE CVA'!$AB$6)*1</f>
        <v>185.42082399535556</v>
      </c>
      <c r="AB170" s="4">
        <f>$K$170*$V$170</f>
        <v>0</v>
      </c>
      <c r="AC170" s="4">
        <f>$M$170*$W$170</f>
        <v>1242.279</v>
      </c>
      <c r="AD170" s="4">
        <f>$O$170*$X$170</f>
        <v>5847.1357500000004</v>
      </c>
      <c r="AE170" s="4">
        <f>$K$170*$Y$170</f>
        <v>0</v>
      </c>
      <c r="AF170" s="4">
        <f ca="1">$M$170*$Z$170</f>
        <v>2185.7116923014032</v>
      </c>
      <c r="AG170" s="4">
        <f>$O$170*$AA$170</f>
        <v>4046.8094836986352</v>
      </c>
    </row>
    <row r="171" spans="1:33" ht="11.25" customHeight="1" x14ac:dyDescent="0.25">
      <c r="A171" s="3" t="s">
        <v>21</v>
      </c>
      <c r="B171" s="3" t="s">
        <v>35</v>
      </c>
      <c r="C171" s="3" t="s">
        <v>36</v>
      </c>
      <c r="D171" s="3" t="s">
        <v>41</v>
      </c>
      <c r="E171" s="3" t="s">
        <v>50</v>
      </c>
      <c r="F171" s="3" t="s">
        <v>52</v>
      </c>
      <c r="G171" s="3" t="s">
        <v>25</v>
      </c>
      <c r="H171" s="3" t="s">
        <v>38</v>
      </c>
      <c r="I171" s="6">
        <v>44621</v>
      </c>
      <c r="J171" s="4">
        <v>0</v>
      </c>
      <c r="K171" s="4">
        <v>0</v>
      </c>
      <c r="L171" s="4">
        <v>84.724000000000004</v>
      </c>
      <c r="M171" s="4">
        <v>25.417200000000001</v>
      </c>
      <c r="N171" s="4">
        <v>84.724000000000004</v>
      </c>
      <c r="O171" s="4">
        <v>25.417200000000001</v>
      </c>
      <c r="P171" s="4">
        <v>0</v>
      </c>
      <c r="Q171" s="3" t="s">
        <v>26</v>
      </c>
      <c r="R171" s="3">
        <v>0</v>
      </c>
      <c r="S171" s="4">
        <v>0</v>
      </c>
      <c r="T171" s="4">
        <v>15</v>
      </c>
      <c r="U171" s="4">
        <v>67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56.92</v>
      </c>
      <c r="X171" s="4">
        <f>IF(ISERROR(VLOOKUP($U$171,'TAR FIN'!$A$1:$O$85,15,0)),0,VLOOKUP($U$171,'TAR FIN'!$A$1:$O$85,15,0))</f>
        <v>267.91000000000003</v>
      </c>
      <c r="Y171" s="4"/>
      <c r="Z171" s="4">
        <f ca="1">('TUSD BE'!$AM$12+'TUSD BF'!$AM$12+'TUSD CVA'!$AM$12)*1</f>
        <v>100.14715657738388</v>
      </c>
      <c r="AA171" s="4">
        <f>('TE BE'!$AB$6+'TE BF'!$AB$6+'TE CVA'!$AB$6)*1</f>
        <v>185.42082399535556</v>
      </c>
      <c r="AB171" s="4">
        <f>$K$171*$V$171</f>
        <v>0</v>
      </c>
      <c r="AC171" s="4">
        <f>$M$171*$W$171</f>
        <v>1446.747024</v>
      </c>
      <c r="AD171" s="4">
        <f>$O$171*$X$171</f>
        <v>6809.5220520000012</v>
      </c>
      <c r="AE171" s="4">
        <f>$K$171*$Y$171</f>
        <v>0</v>
      </c>
      <c r="AF171" s="4">
        <f ca="1">$M$171*$Z$171</f>
        <v>2545.4603081586815</v>
      </c>
      <c r="AG171" s="4">
        <f>$O$171*$AA$171</f>
        <v>4712.8781676547515</v>
      </c>
    </row>
    <row r="172" spans="1:33" ht="11.25" customHeight="1" x14ac:dyDescent="0.25">
      <c r="A172" s="3" t="s">
        <v>21</v>
      </c>
      <c r="B172" s="3" t="s">
        <v>35</v>
      </c>
      <c r="C172" s="3" t="s">
        <v>36</v>
      </c>
      <c r="D172" s="3" t="s">
        <v>41</v>
      </c>
      <c r="E172" s="3" t="s">
        <v>50</v>
      </c>
      <c r="F172" s="3" t="s">
        <v>52</v>
      </c>
      <c r="G172" s="3" t="s">
        <v>25</v>
      </c>
      <c r="H172" s="3" t="s">
        <v>38</v>
      </c>
      <c r="I172" s="6">
        <v>44652</v>
      </c>
      <c r="J172" s="4">
        <v>0</v>
      </c>
      <c r="K172" s="4">
        <v>0</v>
      </c>
      <c r="L172" s="4">
        <v>190.38499999999999</v>
      </c>
      <c r="M172" s="4">
        <v>57.115499999999997</v>
      </c>
      <c r="N172" s="4">
        <v>190.38499999999999</v>
      </c>
      <c r="O172" s="4">
        <v>57.115499999999997</v>
      </c>
      <c r="P172" s="4">
        <v>0</v>
      </c>
      <c r="Q172" s="3" t="s">
        <v>26</v>
      </c>
      <c r="R172" s="3">
        <v>0</v>
      </c>
      <c r="S172" s="4">
        <v>0</v>
      </c>
      <c r="T172" s="4">
        <v>15</v>
      </c>
      <c r="U172" s="4">
        <v>67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56.92</v>
      </c>
      <c r="X172" s="4">
        <f>IF(ISERROR(VLOOKUP($U$172,'TAR FIN'!$A$1:$O$85,15,0)),0,VLOOKUP($U$172,'TAR FIN'!$A$1:$O$85,15,0))</f>
        <v>267.91000000000003</v>
      </c>
      <c r="Y172" s="4"/>
      <c r="Z172" s="4">
        <f ca="1">('TUSD BE'!$AM$12+'TUSD BF'!$AM$12+'TUSD CVA'!$AM$12)*1</f>
        <v>100.14715657738388</v>
      </c>
      <c r="AA172" s="4">
        <f>('TE BE'!$AB$6+'TE BF'!$AB$6+'TE CVA'!$AB$6)*1</f>
        <v>185.42082399535556</v>
      </c>
      <c r="AB172" s="4">
        <f>$K$172*$V$172</f>
        <v>0</v>
      </c>
      <c r="AC172" s="4">
        <f>$M$172*$W$172</f>
        <v>3251.0142599999999</v>
      </c>
      <c r="AD172" s="4">
        <f>$O$172*$X$172</f>
        <v>15301.813605000001</v>
      </c>
      <c r="AE172" s="4">
        <f>$K$172*$Y$172</f>
        <v>0</v>
      </c>
      <c r="AF172" s="4">
        <f ca="1">$M$172*$Z$172</f>
        <v>5719.9549214955687</v>
      </c>
      <c r="AG172" s="4">
        <f>$O$172*$AA$172</f>
        <v>10590.403072906731</v>
      </c>
    </row>
    <row r="173" spans="1:33" ht="11.25" customHeight="1" x14ac:dyDescent="0.25">
      <c r="A173" s="3" t="s">
        <v>21</v>
      </c>
      <c r="B173" s="3" t="s">
        <v>35</v>
      </c>
      <c r="C173" s="3" t="s">
        <v>36</v>
      </c>
      <c r="D173" s="3" t="s">
        <v>41</v>
      </c>
      <c r="E173" s="3" t="s">
        <v>50</v>
      </c>
      <c r="F173" s="3" t="s">
        <v>52</v>
      </c>
      <c r="G173" s="3" t="s">
        <v>25</v>
      </c>
      <c r="H173" s="3" t="s">
        <v>38</v>
      </c>
      <c r="I173" s="6">
        <v>44682</v>
      </c>
      <c r="J173" s="4">
        <v>0</v>
      </c>
      <c r="K173" s="4">
        <v>0</v>
      </c>
      <c r="L173" s="4">
        <v>396.86799999999999</v>
      </c>
      <c r="M173" s="4">
        <v>119.0604</v>
      </c>
      <c r="N173" s="4">
        <v>396.86799999999999</v>
      </c>
      <c r="O173" s="4">
        <v>119.0604</v>
      </c>
      <c r="P173" s="4">
        <v>0</v>
      </c>
      <c r="Q173" s="3" t="s">
        <v>26</v>
      </c>
      <c r="R173" s="3">
        <v>0</v>
      </c>
      <c r="S173" s="4">
        <v>0</v>
      </c>
      <c r="T173" s="4">
        <v>15</v>
      </c>
      <c r="U173" s="4">
        <v>67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56.92</v>
      </c>
      <c r="X173" s="4">
        <f>IF(ISERROR(VLOOKUP($U$173,'TAR FIN'!$A$1:$O$85,15,0)),0,VLOOKUP($U$173,'TAR FIN'!$A$1:$O$85,15,0))</f>
        <v>267.91000000000003</v>
      </c>
      <c r="Y173" s="4"/>
      <c r="Z173" s="4">
        <f ca="1">('TUSD BE'!$AM$12+'TUSD BF'!$AM$12+'TUSD CVA'!$AM$12)*1</f>
        <v>100.14715657738388</v>
      </c>
      <c r="AA173" s="4">
        <f>('TE BE'!$AB$6+'TE BF'!$AB$6+'TE CVA'!$AB$6)*1</f>
        <v>185.42082399535556</v>
      </c>
      <c r="AB173" s="4">
        <f>$K$173*$V$173</f>
        <v>0</v>
      </c>
      <c r="AC173" s="4">
        <f>$M$173*$W$173</f>
        <v>6776.9179680000007</v>
      </c>
      <c r="AD173" s="4">
        <f>$O$173*$X$173</f>
        <v>31897.471764000002</v>
      </c>
      <c r="AE173" s="4">
        <f>$K$173*$Y$173</f>
        <v>0</v>
      </c>
      <c r="AF173" s="4">
        <f ca="1">$M$173*$Z$173</f>
        <v>11923.560520965955</v>
      </c>
      <c r="AG173" s="4">
        <f>$O$173*$AA$173</f>
        <v>22076.277473216633</v>
      </c>
    </row>
    <row r="174" spans="1:33" ht="11.25" customHeight="1" x14ac:dyDescent="0.25">
      <c r="A174" s="3" t="s">
        <v>21</v>
      </c>
      <c r="B174" s="3" t="s">
        <v>35</v>
      </c>
      <c r="C174" s="3" t="s">
        <v>36</v>
      </c>
      <c r="D174" s="3" t="s">
        <v>41</v>
      </c>
      <c r="E174" s="3" t="s">
        <v>50</v>
      </c>
      <c r="F174" s="3" t="s">
        <v>52</v>
      </c>
      <c r="G174" s="3" t="s">
        <v>25</v>
      </c>
      <c r="H174" s="3" t="s">
        <v>38</v>
      </c>
      <c r="I174" s="6">
        <v>44713</v>
      </c>
      <c r="J174" s="4">
        <v>0</v>
      </c>
      <c r="K174" s="4">
        <v>0</v>
      </c>
      <c r="L174" s="4">
        <v>112.074</v>
      </c>
      <c r="M174" s="4">
        <v>33.622199999999999</v>
      </c>
      <c r="N174" s="4">
        <v>112.074</v>
      </c>
      <c r="O174" s="4">
        <v>33.622199999999999</v>
      </c>
      <c r="P174" s="4">
        <v>0</v>
      </c>
      <c r="Q174" s="3" t="s">
        <v>26</v>
      </c>
      <c r="R174" s="3">
        <v>0</v>
      </c>
      <c r="S174" s="4">
        <v>0</v>
      </c>
      <c r="T174" s="4">
        <v>15</v>
      </c>
      <c r="U174" s="4">
        <v>67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56.92</v>
      </c>
      <c r="X174" s="4">
        <f>IF(ISERROR(VLOOKUP($U$174,'TAR FIN'!$A$1:$O$85,15,0)),0,VLOOKUP($U$174,'TAR FIN'!$A$1:$O$85,15,0))</f>
        <v>267.91000000000003</v>
      </c>
      <c r="Y174" s="4"/>
      <c r="Z174" s="4">
        <f ca="1">('TUSD BE'!$AM$12+'TUSD BF'!$AM$12+'TUSD CVA'!$AM$12)*1</f>
        <v>100.14715657738388</v>
      </c>
      <c r="AA174" s="4">
        <f>('TE BE'!$AB$6+'TE BF'!$AB$6+'TE CVA'!$AB$6)*1</f>
        <v>185.42082399535556</v>
      </c>
      <c r="AB174" s="4">
        <f>$K$174*$V$174</f>
        <v>0</v>
      </c>
      <c r="AC174" s="4">
        <f>$M$174*$W$174</f>
        <v>1913.7756240000001</v>
      </c>
      <c r="AD174" s="4">
        <f>$O$174*$X$174</f>
        <v>9007.723602</v>
      </c>
      <c r="AE174" s="4">
        <f>$K$174*$Y$174</f>
        <v>0</v>
      </c>
      <c r="AF174" s="4">
        <f ca="1">$M$174*$Z$174</f>
        <v>3367.1677278761163</v>
      </c>
      <c r="AG174" s="4">
        <f>$O$174*$AA$174</f>
        <v>6234.2560285366435</v>
      </c>
    </row>
    <row r="175" spans="1:33" ht="11.25" customHeight="1" x14ac:dyDescent="0.25">
      <c r="A175" s="3" t="s">
        <v>21</v>
      </c>
      <c r="B175" s="3" t="s">
        <v>35</v>
      </c>
      <c r="C175" s="3" t="s">
        <v>36</v>
      </c>
      <c r="D175" s="3" t="s">
        <v>41</v>
      </c>
      <c r="E175" s="3" t="s">
        <v>50</v>
      </c>
      <c r="F175" s="3" t="s">
        <v>52</v>
      </c>
      <c r="G175" s="3" t="s">
        <v>25</v>
      </c>
      <c r="H175" s="3" t="s">
        <v>38</v>
      </c>
      <c r="I175" s="6">
        <v>44743</v>
      </c>
      <c r="J175" s="4">
        <v>0</v>
      </c>
      <c r="K175" s="4">
        <v>0</v>
      </c>
      <c r="L175" s="4">
        <v>295.55399999999997</v>
      </c>
      <c r="M175" s="4">
        <v>88.666200000000003</v>
      </c>
      <c r="N175" s="4">
        <v>295.55399999999997</v>
      </c>
      <c r="O175" s="4">
        <v>88.666200000000003</v>
      </c>
      <c r="P175" s="4">
        <v>0</v>
      </c>
      <c r="Q175" s="3" t="s">
        <v>26</v>
      </c>
      <c r="R175" s="3">
        <v>0</v>
      </c>
      <c r="S175" s="4">
        <v>0</v>
      </c>
      <c r="T175" s="4">
        <v>15</v>
      </c>
      <c r="U175" s="4">
        <v>67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56.92</v>
      </c>
      <c r="X175" s="4">
        <f>IF(ISERROR(VLOOKUP($U$175,'TAR FIN'!$A$1:$O$85,15,0)),0,VLOOKUP($U$175,'TAR FIN'!$A$1:$O$85,15,0))</f>
        <v>267.91000000000003</v>
      </c>
      <c r="Y175" s="4"/>
      <c r="Z175" s="4">
        <f ca="1">('TUSD BE'!$AM$12+'TUSD BF'!$AM$12+'TUSD CVA'!$AM$12)*1</f>
        <v>100.14715657738388</v>
      </c>
      <c r="AA175" s="4">
        <f>('TE BE'!$AB$6+'TE BF'!$AB$6+'TE CVA'!$AB$6)*1</f>
        <v>185.42082399535556</v>
      </c>
      <c r="AB175" s="4">
        <f>$K$175*$V$175</f>
        <v>0</v>
      </c>
      <c r="AC175" s="4">
        <f>$M$175*$W$175</f>
        <v>5046.8801040000008</v>
      </c>
      <c r="AD175" s="4">
        <f>$O$175*$X$175</f>
        <v>23754.561642000004</v>
      </c>
      <c r="AE175" s="4">
        <f>$K$175*$Y$175</f>
        <v>0</v>
      </c>
      <c r="AF175" s="4">
        <f ca="1">$M$175*$Z$175</f>
        <v>8879.6678145216356</v>
      </c>
      <c r="AG175" s="4">
        <f>$O$175*$AA$175</f>
        <v>16440.559864536997</v>
      </c>
    </row>
    <row r="176" spans="1:33" ht="11.25" customHeight="1" x14ac:dyDescent="0.25">
      <c r="A176" s="3" t="s">
        <v>21</v>
      </c>
      <c r="B176" s="3" t="s">
        <v>35</v>
      </c>
      <c r="C176" s="3" t="s">
        <v>36</v>
      </c>
      <c r="D176" s="3" t="s">
        <v>41</v>
      </c>
      <c r="E176" s="3" t="s">
        <v>50</v>
      </c>
      <c r="F176" s="3" t="s">
        <v>52</v>
      </c>
      <c r="G176" s="3" t="s">
        <v>25</v>
      </c>
      <c r="H176" s="3" t="s">
        <v>38</v>
      </c>
      <c r="I176" s="6">
        <v>44774</v>
      </c>
      <c r="J176" s="4">
        <v>0</v>
      </c>
      <c r="K176" s="4">
        <v>0</v>
      </c>
      <c r="L176" s="4">
        <v>501.83199999999999</v>
      </c>
      <c r="M176" s="4">
        <v>150.5496</v>
      </c>
      <c r="N176" s="4">
        <v>501.83199999999999</v>
      </c>
      <c r="O176" s="4">
        <v>150.5496</v>
      </c>
      <c r="P176" s="4">
        <v>0</v>
      </c>
      <c r="Q176" s="3" t="s">
        <v>26</v>
      </c>
      <c r="R176" s="3">
        <v>0</v>
      </c>
      <c r="S176" s="4">
        <v>0</v>
      </c>
      <c r="T176" s="4">
        <v>15</v>
      </c>
      <c r="U176" s="4">
        <v>67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56.92</v>
      </c>
      <c r="X176" s="4">
        <f>IF(ISERROR(VLOOKUP($U$176,'TAR FIN'!$A$1:$O$85,15,0)),0,VLOOKUP($U$176,'TAR FIN'!$A$1:$O$85,15,0))</f>
        <v>267.91000000000003</v>
      </c>
      <c r="Y176" s="4"/>
      <c r="Z176" s="4">
        <f ca="1">('TUSD BE'!$AM$12+'TUSD BF'!$AM$12+'TUSD CVA'!$AM$12)*1</f>
        <v>100.14715657738388</v>
      </c>
      <c r="AA176" s="4">
        <f>('TE BE'!$AB$6+'TE BF'!$AB$6+'TE CVA'!$AB$6)*1</f>
        <v>185.42082399535556</v>
      </c>
      <c r="AB176" s="4">
        <f>$K$176*$V$176</f>
        <v>0</v>
      </c>
      <c r="AC176" s="4">
        <f>$M$176*$W$176</f>
        <v>8569.2832319999998</v>
      </c>
      <c r="AD176" s="4">
        <f>$O$176*$X$176</f>
        <v>40333.743336000007</v>
      </c>
      <c r="AE176" s="4">
        <f>$K$176*$Y$176</f>
        <v>0</v>
      </c>
      <c r="AF176" s="4">
        <f ca="1">$M$176*$Z$176</f>
        <v>15077.114363862513</v>
      </c>
      <c r="AG176" s="4">
        <f>$O$176*$AA$176</f>
        <v>27915.030884171181</v>
      </c>
    </row>
    <row r="177" spans="1:33" ht="11.25" customHeight="1" x14ac:dyDescent="0.25">
      <c r="A177" s="3" t="s">
        <v>21</v>
      </c>
      <c r="B177" s="3" t="s">
        <v>35</v>
      </c>
      <c r="C177" s="3" t="s">
        <v>36</v>
      </c>
      <c r="D177" s="3" t="s">
        <v>41</v>
      </c>
      <c r="E177" s="3" t="s">
        <v>50</v>
      </c>
      <c r="F177" s="3" t="s">
        <v>25</v>
      </c>
      <c r="G177" s="3" t="s">
        <v>25</v>
      </c>
      <c r="H177" s="3" t="s">
        <v>38</v>
      </c>
      <c r="I177" s="6">
        <v>44440</v>
      </c>
      <c r="J177" s="4">
        <v>0</v>
      </c>
      <c r="K177" s="52">
        <v>0</v>
      </c>
      <c r="L177" s="4">
        <v>822.55100000000004</v>
      </c>
      <c r="M177" s="52">
        <v>822.55100000000004</v>
      </c>
      <c r="N177" s="4">
        <v>822.55100000000004</v>
      </c>
      <c r="O177" s="52">
        <v>822.55100000000004</v>
      </c>
      <c r="P177" s="4">
        <v>0</v>
      </c>
      <c r="Q177" s="3" t="s">
        <v>26</v>
      </c>
      <c r="R177" s="3">
        <v>0</v>
      </c>
      <c r="S177" s="4">
        <v>0</v>
      </c>
      <c r="T177" s="4">
        <v>15</v>
      </c>
      <c r="U177" s="4">
        <v>67</v>
      </c>
      <c r="V177" s="52">
        <f>IF(ISERROR(VLOOKUP($S$177,'TAR FIN'!$A$1:$O$85,15,0)),0,VLOOKUP($S$177,'TAR FIN'!$A$1:$O$85,15,0))</f>
        <v>0</v>
      </c>
      <c r="W177" s="52">
        <f>IF(ISERROR(VLOOKUP($T$177,'TAR FIN'!$A$1:$O$85,15,0)),0,VLOOKUP($T$177,'TAR FIN'!$A$1:$O$85,15,0))*(1-0.04)</f>
        <v>54.6432</v>
      </c>
      <c r="X177" s="52">
        <f>IF(ISERROR(VLOOKUP($U$177,'TAR FIN'!$A$1:$O$85,15,0)),0,VLOOKUP($U$177,'TAR FIN'!$A$1:$O$85,15,0))*(1-0.04)</f>
        <v>257.1936</v>
      </c>
      <c r="Y177" s="52"/>
      <c r="Z177" s="52">
        <f ca="1">('TUSD BE'!$AM$12+'TUSD BF'!$AM$12+'TUSD CVA'!$AM$12)*1*(1-0.02)</f>
        <v>98.144213445836201</v>
      </c>
      <c r="AA177" s="52">
        <f>('TE BE'!$AB$6+'TE BF'!$AB$6+'TE CVA'!$AB$6)*1*(1-0.02)</f>
        <v>181.71240751544846</v>
      </c>
      <c r="AB177" s="4">
        <f>$K$177*$V$177</f>
        <v>0</v>
      </c>
      <c r="AC177" s="4">
        <f>$M$177*$W$177</f>
        <v>44946.818803200003</v>
      </c>
      <c r="AD177" s="4">
        <f>$O$177*$X$177</f>
        <v>211554.8528736</v>
      </c>
      <c r="AE177" s="4">
        <f>$K$177*$Y$177</f>
        <v>0</v>
      </c>
      <c r="AF177" s="4">
        <f ca="1">$M$177*$Z$177</f>
        <v>80728.620914086016</v>
      </c>
      <c r="AG177" s="4">
        <f>$O$177*$AA$177</f>
        <v>149467.72251423966</v>
      </c>
    </row>
    <row r="178" spans="1:33" ht="11.25" customHeight="1" x14ac:dyDescent="0.25">
      <c r="A178" s="3" t="s">
        <v>21</v>
      </c>
      <c r="B178" s="3" t="s">
        <v>35</v>
      </c>
      <c r="C178" s="3" t="s">
        <v>36</v>
      </c>
      <c r="D178" s="3" t="s">
        <v>41</v>
      </c>
      <c r="E178" s="3" t="s">
        <v>50</v>
      </c>
      <c r="F178" s="3" t="s">
        <v>25</v>
      </c>
      <c r="G178" s="3" t="s">
        <v>25</v>
      </c>
      <c r="H178" s="3" t="s">
        <v>38</v>
      </c>
      <c r="I178" s="6">
        <v>44470</v>
      </c>
      <c r="J178" s="4">
        <v>0</v>
      </c>
      <c r="K178" s="52">
        <v>0</v>
      </c>
      <c r="L178" s="4">
        <v>357.52100000000002</v>
      </c>
      <c r="M178" s="52">
        <v>357.52100000000002</v>
      </c>
      <c r="N178" s="4">
        <v>357.52100000000002</v>
      </c>
      <c r="O178" s="52">
        <v>357.52100000000002</v>
      </c>
      <c r="P178" s="4">
        <v>0</v>
      </c>
      <c r="Q178" s="3" t="s">
        <v>26</v>
      </c>
      <c r="R178" s="3">
        <v>0</v>
      </c>
      <c r="S178" s="4">
        <v>0</v>
      </c>
      <c r="T178" s="4">
        <v>15</v>
      </c>
      <c r="U178" s="4">
        <v>67</v>
      </c>
      <c r="V178" s="52">
        <f>IF(ISERROR(VLOOKUP($S$178,'TAR FIN'!$A$1:$O$85,15,0)),0,VLOOKUP($S$178,'TAR FIN'!$A$1:$O$85,15,0))</f>
        <v>0</v>
      </c>
      <c r="W178" s="52">
        <f>IF(ISERROR(VLOOKUP($T$178,'TAR FIN'!$A$1:$O$85,15,0)),0,VLOOKUP($T$178,'TAR FIN'!$A$1:$O$85,15,0))*(1-0.04)</f>
        <v>54.6432</v>
      </c>
      <c r="X178" s="52">
        <f>IF(ISERROR(VLOOKUP($U$178,'TAR FIN'!$A$1:$O$85,15,0)),0,VLOOKUP($U$178,'TAR FIN'!$A$1:$O$85,15,0))*(1-0.04)</f>
        <v>257.1936</v>
      </c>
      <c r="Y178" s="52"/>
      <c r="Z178" s="52">
        <f ca="1">('TUSD BE'!$AM$12+'TUSD BF'!$AM$12+'TUSD CVA'!$AM$12)*1*(1-0.02)</f>
        <v>98.144213445836201</v>
      </c>
      <c r="AA178" s="52">
        <f>('TE BE'!$AB$6+'TE BF'!$AB$6+'TE CVA'!$AB$6)*1*(1-0.02)</f>
        <v>181.71240751544846</v>
      </c>
      <c r="AB178" s="4">
        <f>$K$178*$V$178</f>
        <v>0</v>
      </c>
      <c r="AC178" s="4">
        <f>$M$178*$W$178</f>
        <v>19536.091507200003</v>
      </c>
      <c r="AD178" s="4">
        <f>$O$178*$X$178</f>
        <v>91952.113065600002</v>
      </c>
      <c r="AE178" s="4">
        <f>$K$178*$Y$178</f>
        <v>0</v>
      </c>
      <c r="AF178" s="4">
        <f ca="1">$M$178*$Z$178</f>
        <v>35088.617335368806</v>
      </c>
      <c r="AG178" s="4">
        <f>$O$178*$AA$178</f>
        <v>64966.001647330653</v>
      </c>
    </row>
    <row r="179" spans="1:33" ht="11.25" customHeight="1" x14ac:dyDescent="0.25">
      <c r="A179" s="3" t="s">
        <v>21</v>
      </c>
      <c r="B179" s="3" t="s">
        <v>35</v>
      </c>
      <c r="C179" s="3" t="s">
        <v>36</v>
      </c>
      <c r="D179" s="3" t="s">
        <v>41</v>
      </c>
      <c r="E179" s="3" t="s">
        <v>50</v>
      </c>
      <c r="F179" s="3" t="s">
        <v>25</v>
      </c>
      <c r="G179" s="3" t="s">
        <v>25</v>
      </c>
      <c r="H179" s="3" t="s">
        <v>38</v>
      </c>
      <c r="I179" s="6">
        <v>44501</v>
      </c>
      <c r="J179" s="4">
        <v>0</v>
      </c>
      <c r="K179" s="52">
        <v>0</v>
      </c>
      <c r="L179" s="4">
        <v>145.73699999999999</v>
      </c>
      <c r="M179" s="52">
        <v>145.73699999999999</v>
      </c>
      <c r="N179" s="4">
        <v>145.73699999999999</v>
      </c>
      <c r="O179" s="52">
        <v>145.73699999999999</v>
      </c>
      <c r="P179" s="4">
        <v>0</v>
      </c>
      <c r="Q179" s="3" t="s">
        <v>26</v>
      </c>
      <c r="R179" s="3">
        <v>0</v>
      </c>
      <c r="S179" s="4">
        <v>0</v>
      </c>
      <c r="T179" s="4">
        <v>15</v>
      </c>
      <c r="U179" s="4">
        <v>67</v>
      </c>
      <c r="V179" s="52">
        <f>IF(ISERROR(VLOOKUP($S$179,'TAR FIN'!$A$1:$O$85,15,0)),0,VLOOKUP($S$179,'TAR FIN'!$A$1:$O$85,15,0))</f>
        <v>0</v>
      </c>
      <c r="W179" s="52">
        <f>IF(ISERROR(VLOOKUP($T$179,'TAR FIN'!$A$1:$O$85,15,0)),0,VLOOKUP($T$179,'TAR FIN'!$A$1:$O$85,15,0))*(1-0.04)</f>
        <v>54.6432</v>
      </c>
      <c r="X179" s="52">
        <f>IF(ISERROR(VLOOKUP($U$179,'TAR FIN'!$A$1:$O$85,15,0)),0,VLOOKUP($U$179,'TAR FIN'!$A$1:$O$85,15,0))*(1-0.04)</f>
        <v>257.1936</v>
      </c>
      <c r="Y179" s="52"/>
      <c r="Z179" s="52">
        <f ca="1">('TUSD BE'!$AM$12+'TUSD BF'!$AM$12+'TUSD CVA'!$AM$12)*1*(1-0.02)</f>
        <v>98.144213445836201</v>
      </c>
      <c r="AA179" s="52">
        <f>('TE BE'!$AB$6+'TE BF'!$AB$6+'TE CVA'!$AB$6)*1*(1-0.02)</f>
        <v>181.71240751544846</v>
      </c>
      <c r="AB179" s="4">
        <f>$K$179*$V$179</f>
        <v>0</v>
      </c>
      <c r="AC179" s="4">
        <f>$M$179*$W$179</f>
        <v>7963.5360383999996</v>
      </c>
      <c r="AD179" s="4">
        <f>$O$179*$X$179</f>
        <v>37482.6236832</v>
      </c>
      <c r="AE179" s="4">
        <f>$K$179*$Y$179</f>
        <v>0</v>
      </c>
      <c r="AF179" s="4">
        <f ca="1">$M$179*$Z$179</f>
        <v>14303.243234955829</v>
      </c>
      <c r="AG179" s="4">
        <f>$O$179*$AA$179</f>
        <v>26482.221134078911</v>
      </c>
    </row>
    <row r="180" spans="1:33" ht="11.25" customHeight="1" x14ac:dyDescent="0.25">
      <c r="A180" s="3" t="s">
        <v>21</v>
      </c>
      <c r="B180" s="3" t="s">
        <v>35</v>
      </c>
      <c r="C180" s="3" t="s">
        <v>36</v>
      </c>
      <c r="D180" s="3" t="s">
        <v>41</v>
      </c>
      <c r="E180" s="3" t="s">
        <v>50</v>
      </c>
      <c r="F180" s="3" t="s">
        <v>25</v>
      </c>
      <c r="G180" s="3" t="s">
        <v>25</v>
      </c>
      <c r="H180" s="3" t="s">
        <v>38</v>
      </c>
      <c r="I180" s="6">
        <v>44531</v>
      </c>
      <c r="J180" s="4">
        <v>0</v>
      </c>
      <c r="K180" s="52">
        <v>0</v>
      </c>
      <c r="L180" s="4">
        <v>56.844000000000001</v>
      </c>
      <c r="M180" s="52">
        <v>56.844000000000001</v>
      </c>
      <c r="N180" s="4">
        <v>56.844000000000001</v>
      </c>
      <c r="O180" s="52">
        <v>56.844000000000001</v>
      </c>
      <c r="P180" s="4">
        <v>0</v>
      </c>
      <c r="Q180" s="3" t="s">
        <v>26</v>
      </c>
      <c r="R180" s="3">
        <v>0</v>
      </c>
      <c r="S180" s="4">
        <v>0</v>
      </c>
      <c r="T180" s="4">
        <v>15</v>
      </c>
      <c r="U180" s="4">
        <v>67</v>
      </c>
      <c r="V180" s="52">
        <f>IF(ISERROR(VLOOKUP($S$180,'TAR FIN'!$A$1:$O$85,15,0)),0,VLOOKUP($S$180,'TAR FIN'!$A$1:$O$85,15,0))</f>
        <v>0</v>
      </c>
      <c r="W180" s="52">
        <f>IF(ISERROR(VLOOKUP($T$180,'TAR FIN'!$A$1:$O$85,15,0)),0,VLOOKUP($T$180,'TAR FIN'!$A$1:$O$85,15,0))*(1-0.04)</f>
        <v>54.6432</v>
      </c>
      <c r="X180" s="52">
        <f>IF(ISERROR(VLOOKUP($U$180,'TAR FIN'!$A$1:$O$85,15,0)),0,VLOOKUP($U$180,'TAR FIN'!$A$1:$O$85,15,0))*(1-0.04)</f>
        <v>257.1936</v>
      </c>
      <c r="Y180" s="52"/>
      <c r="Z180" s="52">
        <f ca="1">('TUSD BE'!$AM$12+'TUSD BF'!$AM$12+'TUSD CVA'!$AM$12)*1*(1-0.02)</f>
        <v>98.144213445836201</v>
      </c>
      <c r="AA180" s="52">
        <f>('TE BE'!$AB$6+'TE BF'!$AB$6+'TE CVA'!$AB$6)*1*(1-0.02)</f>
        <v>181.71240751544846</v>
      </c>
      <c r="AB180" s="4">
        <f>$K$180*$V$180</f>
        <v>0</v>
      </c>
      <c r="AC180" s="4">
        <f>$M$180*$W$180</f>
        <v>3106.1380607999999</v>
      </c>
      <c r="AD180" s="4">
        <f>$O$180*$X$180</f>
        <v>14619.912998400001</v>
      </c>
      <c r="AE180" s="4">
        <f>$K$180*$Y$180</f>
        <v>0</v>
      </c>
      <c r="AF180" s="4">
        <f ca="1">$M$180*$Z$180</f>
        <v>5578.9096691151135</v>
      </c>
      <c r="AG180" s="4">
        <f>$O$180*$AA$180</f>
        <v>10329.260092808152</v>
      </c>
    </row>
    <row r="181" spans="1:33" ht="11.25" customHeight="1" x14ac:dyDescent="0.25">
      <c r="A181" s="3" t="s">
        <v>21</v>
      </c>
      <c r="B181" s="3" t="s">
        <v>35</v>
      </c>
      <c r="C181" s="3" t="s">
        <v>36</v>
      </c>
      <c r="D181" s="3" t="s">
        <v>41</v>
      </c>
      <c r="E181" s="3" t="s">
        <v>50</v>
      </c>
      <c r="F181" s="3" t="s">
        <v>25</v>
      </c>
      <c r="G181" s="3" t="s">
        <v>25</v>
      </c>
      <c r="H181" s="3" t="s">
        <v>38</v>
      </c>
      <c r="I181" s="6">
        <v>44562</v>
      </c>
      <c r="J181" s="4">
        <v>0</v>
      </c>
      <c r="K181" s="52">
        <v>0</v>
      </c>
      <c r="L181" s="4">
        <v>53.448999999999998</v>
      </c>
      <c r="M181" s="52">
        <v>53.448999999999998</v>
      </c>
      <c r="N181" s="4">
        <v>53.448999999999998</v>
      </c>
      <c r="O181" s="52">
        <v>53.448999999999998</v>
      </c>
      <c r="P181" s="4">
        <v>0</v>
      </c>
      <c r="Q181" s="3" t="s">
        <v>26</v>
      </c>
      <c r="R181" s="3">
        <v>0</v>
      </c>
      <c r="S181" s="4">
        <v>0</v>
      </c>
      <c r="T181" s="4">
        <v>15</v>
      </c>
      <c r="U181" s="4">
        <v>67</v>
      </c>
      <c r="V181" s="52">
        <f>IF(ISERROR(VLOOKUP($S$181,'TAR FIN'!$A$1:$O$85,15,0)),0,VLOOKUP($S$181,'TAR FIN'!$A$1:$O$85,15,0))</f>
        <v>0</v>
      </c>
      <c r="W181" s="52">
        <f>IF(ISERROR(VLOOKUP($T$181,'TAR FIN'!$A$1:$O$85,15,0)),0,VLOOKUP($T$181,'TAR FIN'!$A$1:$O$85,15,0))*(1-0.04)</f>
        <v>54.6432</v>
      </c>
      <c r="X181" s="52">
        <f>IF(ISERROR(VLOOKUP($U$181,'TAR FIN'!$A$1:$O$85,15,0)),0,VLOOKUP($U$181,'TAR FIN'!$A$1:$O$85,15,0))*(1-0.04)</f>
        <v>257.1936</v>
      </c>
      <c r="Y181" s="52"/>
      <c r="Z181" s="52">
        <f ca="1">('TUSD BE'!$AM$12+'TUSD BF'!$AM$12+'TUSD CVA'!$AM$12)*1*(1-0.02)</f>
        <v>98.144213445836201</v>
      </c>
      <c r="AA181" s="52">
        <f>('TE BE'!$AB$6+'TE BF'!$AB$6+'TE CVA'!$AB$6)*1*(1-0.02)</f>
        <v>181.71240751544846</v>
      </c>
      <c r="AB181" s="4">
        <f>$K$181*$V$181</f>
        <v>0</v>
      </c>
      <c r="AC181" s="4">
        <f>$M$181*$W$181</f>
        <v>2920.6243967999999</v>
      </c>
      <c r="AD181" s="4">
        <f>$O$181*$X$181</f>
        <v>13746.740726399999</v>
      </c>
      <c r="AE181" s="4">
        <f>$K$181*$Y$181</f>
        <v>0</v>
      </c>
      <c r="AF181" s="4">
        <f ca="1">$M$181*$Z$181</f>
        <v>5245.7100644664988</v>
      </c>
      <c r="AG181" s="4">
        <f>$O$181*$AA$181</f>
        <v>9712.3464692932048</v>
      </c>
    </row>
    <row r="182" spans="1:33" ht="11.25" customHeight="1" x14ac:dyDescent="0.25">
      <c r="A182" s="3" t="s">
        <v>21</v>
      </c>
      <c r="B182" s="3" t="s">
        <v>35</v>
      </c>
      <c r="C182" s="3" t="s">
        <v>36</v>
      </c>
      <c r="D182" s="3" t="s">
        <v>41</v>
      </c>
      <c r="E182" s="3" t="s">
        <v>50</v>
      </c>
      <c r="F182" s="3" t="s">
        <v>25</v>
      </c>
      <c r="G182" s="3" t="s">
        <v>25</v>
      </c>
      <c r="H182" s="3" t="s">
        <v>38</v>
      </c>
      <c r="I182" s="6">
        <v>44593</v>
      </c>
      <c r="J182" s="4">
        <v>0</v>
      </c>
      <c r="K182" s="52">
        <v>0</v>
      </c>
      <c r="L182" s="4">
        <v>74.162999999999997</v>
      </c>
      <c r="M182" s="52">
        <v>74.162999999999997</v>
      </c>
      <c r="N182" s="4">
        <v>74.162999999999997</v>
      </c>
      <c r="O182" s="52">
        <v>74.162999999999997</v>
      </c>
      <c r="P182" s="4">
        <v>0</v>
      </c>
      <c r="Q182" s="3" t="s">
        <v>26</v>
      </c>
      <c r="R182" s="3">
        <v>0</v>
      </c>
      <c r="S182" s="4">
        <v>0</v>
      </c>
      <c r="T182" s="4">
        <v>15</v>
      </c>
      <c r="U182" s="4">
        <v>67</v>
      </c>
      <c r="V182" s="52">
        <f>IF(ISERROR(VLOOKUP($S$182,'TAR FIN'!$A$1:$O$85,15,0)),0,VLOOKUP($S$182,'TAR FIN'!$A$1:$O$85,15,0))</f>
        <v>0</v>
      </c>
      <c r="W182" s="52">
        <f>IF(ISERROR(VLOOKUP($T$182,'TAR FIN'!$A$1:$O$85,15,0)),0,VLOOKUP($T$182,'TAR FIN'!$A$1:$O$85,15,0))*(1-0.04)</f>
        <v>54.6432</v>
      </c>
      <c r="X182" s="52">
        <f>IF(ISERROR(VLOOKUP($U$182,'TAR FIN'!$A$1:$O$85,15,0)),0,VLOOKUP($U$182,'TAR FIN'!$A$1:$O$85,15,0))*(1-0.04)</f>
        <v>257.1936</v>
      </c>
      <c r="Y182" s="52"/>
      <c r="Z182" s="52">
        <f ca="1">('TUSD BE'!$AM$12+'TUSD BF'!$AM$12+'TUSD CVA'!$AM$12)*1*(1-0.02)</f>
        <v>98.144213445836201</v>
      </c>
      <c r="AA182" s="52">
        <f>('TE BE'!$AB$6+'TE BF'!$AB$6+'TE CVA'!$AB$6)*1*(1-0.02)</f>
        <v>181.71240751544846</v>
      </c>
      <c r="AB182" s="4">
        <f>$K$182*$V$182</f>
        <v>0</v>
      </c>
      <c r="AC182" s="4">
        <f>$M$182*$W$182</f>
        <v>4052.5036415999998</v>
      </c>
      <c r="AD182" s="4">
        <f>$O$182*$X$182</f>
        <v>19074.248956799998</v>
      </c>
      <c r="AE182" s="4">
        <f>$K$182*$Y$182</f>
        <v>0</v>
      </c>
      <c r="AF182" s="4">
        <f ca="1">$M$182*$Z$182</f>
        <v>7278.6693017835496</v>
      </c>
      <c r="AG182" s="4">
        <f>$O$182*$AA$182</f>
        <v>13476.337278568204</v>
      </c>
    </row>
    <row r="183" spans="1:33" ht="11.25" customHeight="1" x14ac:dyDescent="0.25">
      <c r="A183" s="3" t="s">
        <v>21</v>
      </c>
      <c r="B183" s="3" t="s">
        <v>35</v>
      </c>
      <c r="C183" s="3" t="s">
        <v>36</v>
      </c>
      <c r="D183" s="3" t="s">
        <v>41</v>
      </c>
      <c r="E183" s="3" t="s">
        <v>50</v>
      </c>
      <c r="F183" s="3" t="s">
        <v>25</v>
      </c>
      <c r="G183" s="3" t="s">
        <v>25</v>
      </c>
      <c r="H183" s="3" t="s">
        <v>38</v>
      </c>
      <c r="I183" s="6">
        <v>44621</v>
      </c>
      <c r="J183" s="4">
        <v>0</v>
      </c>
      <c r="K183" s="52">
        <v>0</v>
      </c>
      <c r="L183" s="4">
        <v>66.212000000000003</v>
      </c>
      <c r="M183" s="52">
        <v>66.212000000000003</v>
      </c>
      <c r="N183" s="4">
        <v>66.212000000000003</v>
      </c>
      <c r="O183" s="52">
        <v>66.212000000000003</v>
      </c>
      <c r="P183" s="4">
        <v>0</v>
      </c>
      <c r="Q183" s="3" t="s">
        <v>26</v>
      </c>
      <c r="R183" s="3">
        <v>0</v>
      </c>
      <c r="S183" s="4">
        <v>0</v>
      </c>
      <c r="T183" s="4">
        <v>15</v>
      </c>
      <c r="U183" s="4">
        <v>67</v>
      </c>
      <c r="V183" s="52">
        <f>IF(ISERROR(VLOOKUP($S$183,'TAR FIN'!$A$1:$O$85,15,0)),0,VLOOKUP($S$183,'TAR FIN'!$A$1:$O$85,15,0))</f>
        <v>0</v>
      </c>
      <c r="W183" s="52">
        <f>IF(ISERROR(VLOOKUP($T$183,'TAR FIN'!$A$1:$O$85,15,0)),0,VLOOKUP($T$183,'TAR FIN'!$A$1:$O$85,15,0))*(1-0.04)</f>
        <v>54.6432</v>
      </c>
      <c r="X183" s="52">
        <f>IF(ISERROR(VLOOKUP($U$183,'TAR FIN'!$A$1:$O$85,15,0)),0,VLOOKUP($U$183,'TAR FIN'!$A$1:$O$85,15,0))*(1-0.04)</f>
        <v>257.1936</v>
      </c>
      <c r="Y183" s="52"/>
      <c r="Z183" s="52">
        <f ca="1">('TUSD BE'!$AM$12+'TUSD BF'!$AM$12+'TUSD CVA'!$AM$12)*1*(1-0.02)</f>
        <v>98.144213445836201</v>
      </c>
      <c r="AA183" s="52">
        <f>('TE BE'!$AB$6+'TE BF'!$AB$6+'TE CVA'!$AB$6)*1*(1-0.02)</f>
        <v>181.71240751544846</v>
      </c>
      <c r="AB183" s="4">
        <f>$K$183*$V$183</f>
        <v>0</v>
      </c>
      <c r="AC183" s="4">
        <f>$M$183*$W$183</f>
        <v>3618.0355584000004</v>
      </c>
      <c r="AD183" s="4">
        <f>$O$183*$X$183</f>
        <v>17029.302643200001</v>
      </c>
      <c r="AE183" s="4">
        <f>$K$183*$Y$183</f>
        <v>0</v>
      </c>
      <c r="AF183" s="4">
        <f ca="1">$M$183*$Z$183</f>
        <v>6498.3246606757066</v>
      </c>
      <c r="AG183" s="4">
        <f>$O$183*$AA$183</f>
        <v>12031.541926412874</v>
      </c>
    </row>
    <row r="184" spans="1:33" ht="11.25" customHeight="1" x14ac:dyDescent="0.25">
      <c r="A184" s="3" t="s">
        <v>21</v>
      </c>
      <c r="B184" s="3" t="s">
        <v>35</v>
      </c>
      <c r="C184" s="3" t="s">
        <v>36</v>
      </c>
      <c r="D184" s="3" t="s">
        <v>41</v>
      </c>
      <c r="E184" s="3" t="s">
        <v>50</v>
      </c>
      <c r="F184" s="3" t="s">
        <v>25</v>
      </c>
      <c r="G184" s="3" t="s">
        <v>25</v>
      </c>
      <c r="H184" s="3" t="s">
        <v>38</v>
      </c>
      <c r="I184" s="6">
        <v>44652</v>
      </c>
      <c r="J184" s="4">
        <v>0</v>
      </c>
      <c r="K184" s="52">
        <v>0</v>
      </c>
      <c r="L184" s="4">
        <v>178.85499999999999</v>
      </c>
      <c r="M184" s="52">
        <v>178.85499999999999</v>
      </c>
      <c r="N184" s="4">
        <v>178.85499999999999</v>
      </c>
      <c r="O184" s="52">
        <v>178.85499999999999</v>
      </c>
      <c r="P184" s="4">
        <v>0</v>
      </c>
      <c r="Q184" s="3" t="s">
        <v>26</v>
      </c>
      <c r="R184" s="3">
        <v>0</v>
      </c>
      <c r="S184" s="4">
        <v>0</v>
      </c>
      <c r="T184" s="4">
        <v>15</v>
      </c>
      <c r="U184" s="4">
        <v>67</v>
      </c>
      <c r="V184" s="52">
        <f>IF(ISERROR(VLOOKUP($S$184,'TAR FIN'!$A$1:$O$85,15,0)),0,VLOOKUP($S$184,'TAR FIN'!$A$1:$O$85,15,0))</f>
        <v>0</v>
      </c>
      <c r="W184" s="52">
        <f>IF(ISERROR(VLOOKUP($T$184,'TAR FIN'!$A$1:$O$85,15,0)),0,VLOOKUP($T$184,'TAR FIN'!$A$1:$O$85,15,0))*(1-0.04)</f>
        <v>54.6432</v>
      </c>
      <c r="X184" s="52">
        <f>IF(ISERROR(VLOOKUP($U$184,'TAR FIN'!$A$1:$O$85,15,0)),0,VLOOKUP($U$184,'TAR FIN'!$A$1:$O$85,15,0))*(1-0.04)</f>
        <v>257.1936</v>
      </c>
      <c r="Y184" s="52"/>
      <c r="Z184" s="52">
        <f ca="1">('TUSD BE'!$AM$12+'TUSD BF'!$AM$12+'TUSD CVA'!$AM$12)*1*(1-0.02)</f>
        <v>98.144213445836201</v>
      </c>
      <c r="AA184" s="52">
        <f>('TE BE'!$AB$6+'TE BF'!$AB$6+'TE CVA'!$AB$6)*1*(1-0.02)</f>
        <v>181.71240751544846</v>
      </c>
      <c r="AB184" s="4">
        <f>$K$184*$V$184</f>
        <v>0</v>
      </c>
      <c r="AC184" s="4">
        <f>$M$184*$W$184</f>
        <v>9773.2095360000003</v>
      </c>
      <c r="AD184" s="4">
        <f>$O$184*$X$184</f>
        <v>46000.361327999999</v>
      </c>
      <c r="AE184" s="4">
        <f>$K$184*$Y$184</f>
        <v>0</v>
      </c>
      <c r="AF184" s="4">
        <f ca="1">$M$184*$Z$184</f>
        <v>17553.583295855031</v>
      </c>
      <c r="AG184" s="4">
        <f>$O$184*$AA$184</f>
        <v>32500.172646175532</v>
      </c>
    </row>
    <row r="185" spans="1:33" ht="11.25" customHeight="1" x14ac:dyDescent="0.25">
      <c r="A185" s="3" t="s">
        <v>21</v>
      </c>
      <c r="B185" s="3" t="s">
        <v>35</v>
      </c>
      <c r="C185" s="3" t="s">
        <v>36</v>
      </c>
      <c r="D185" s="3" t="s">
        <v>41</v>
      </c>
      <c r="E185" s="3" t="s">
        <v>50</v>
      </c>
      <c r="F185" s="3" t="s">
        <v>25</v>
      </c>
      <c r="G185" s="3" t="s">
        <v>25</v>
      </c>
      <c r="H185" s="3" t="s">
        <v>38</v>
      </c>
      <c r="I185" s="6">
        <v>44682</v>
      </c>
      <c r="J185" s="4">
        <v>0</v>
      </c>
      <c r="K185" s="52">
        <v>0</v>
      </c>
      <c r="L185" s="4">
        <v>468.88299999999998</v>
      </c>
      <c r="M185" s="52">
        <v>468.88299999999998</v>
      </c>
      <c r="N185" s="4">
        <v>468.88299999999998</v>
      </c>
      <c r="O185" s="52">
        <v>468.88299999999998</v>
      </c>
      <c r="P185" s="4">
        <v>0</v>
      </c>
      <c r="Q185" s="3" t="s">
        <v>26</v>
      </c>
      <c r="R185" s="3">
        <v>0</v>
      </c>
      <c r="S185" s="4">
        <v>0</v>
      </c>
      <c r="T185" s="4">
        <v>15</v>
      </c>
      <c r="U185" s="4">
        <v>67</v>
      </c>
      <c r="V185" s="52">
        <f>IF(ISERROR(VLOOKUP($S$185,'TAR FIN'!$A$1:$O$85,15,0)),0,VLOOKUP($S$185,'TAR FIN'!$A$1:$O$85,15,0))</f>
        <v>0</v>
      </c>
      <c r="W185" s="52">
        <f>IF(ISERROR(VLOOKUP($T$185,'TAR FIN'!$A$1:$O$85,15,0)),0,VLOOKUP($T$185,'TAR FIN'!$A$1:$O$85,15,0))*(1-0.04)</f>
        <v>54.6432</v>
      </c>
      <c r="X185" s="52">
        <f>IF(ISERROR(VLOOKUP($U$185,'TAR FIN'!$A$1:$O$85,15,0)),0,VLOOKUP($U$185,'TAR FIN'!$A$1:$O$85,15,0))*(1-0.04)</f>
        <v>257.1936</v>
      </c>
      <c r="Y185" s="52"/>
      <c r="Z185" s="52">
        <f ca="1">('TUSD BE'!$AM$12+'TUSD BF'!$AM$12+'TUSD CVA'!$AM$12)*1*(1-0.02)</f>
        <v>98.144213445836201</v>
      </c>
      <c r="AA185" s="52">
        <f>('TE BE'!$AB$6+'TE BF'!$AB$6+'TE CVA'!$AB$6)*1*(1-0.02)</f>
        <v>181.71240751544846</v>
      </c>
      <c r="AB185" s="4">
        <f>$K$185*$V$185</f>
        <v>0</v>
      </c>
      <c r="AC185" s="4">
        <f>$M$185*$W$185</f>
        <v>25621.2675456</v>
      </c>
      <c r="AD185" s="4">
        <f>$O$185*$X$185</f>
        <v>120593.7067488</v>
      </c>
      <c r="AE185" s="4">
        <f>$K$185*$Y$185</f>
        <v>0</v>
      </c>
      <c r="AF185" s="4">
        <f ca="1">$M$185*$Z$185</f>
        <v>46018.153233124016</v>
      </c>
      <c r="AG185" s="4">
        <f>$O$185*$AA$185</f>
        <v>85201.858773066022</v>
      </c>
    </row>
    <row r="186" spans="1:33" ht="11.25" customHeight="1" x14ac:dyDescent="0.25">
      <c r="A186" s="3" t="s">
        <v>21</v>
      </c>
      <c r="B186" s="3" t="s">
        <v>35</v>
      </c>
      <c r="C186" s="3" t="s">
        <v>36</v>
      </c>
      <c r="D186" s="3" t="s">
        <v>41</v>
      </c>
      <c r="E186" s="3" t="s">
        <v>50</v>
      </c>
      <c r="F186" s="3" t="s">
        <v>25</v>
      </c>
      <c r="G186" s="3" t="s">
        <v>25</v>
      </c>
      <c r="H186" s="3" t="s">
        <v>38</v>
      </c>
      <c r="I186" s="6">
        <v>44713</v>
      </c>
      <c r="J186" s="4">
        <v>0</v>
      </c>
      <c r="K186" s="52">
        <v>0</v>
      </c>
      <c r="L186" s="4">
        <v>106.05</v>
      </c>
      <c r="M186" s="52">
        <v>106.05</v>
      </c>
      <c r="N186" s="4">
        <v>106.05</v>
      </c>
      <c r="O186" s="52">
        <v>106.05</v>
      </c>
      <c r="P186" s="4">
        <v>0</v>
      </c>
      <c r="Q186" s="3" t="s">
        <v>26</v>
      </c>
      <c r="R186" s="3">
        <v>0</v>
      </c>
      <c r="S186" s="4">
        <v>0</v>
      </c>
      <c r="T186" s="4">
        <v>15</v>
      </c>
      <c r="U186" s="4">
        <v>67</v>
      </c>
      <c r="V186" s="52">
        <f>IF(ISERROR(VLOOKUP($S$186,'TAR FIN'!$A$1:$O$85,15,0)),0,VLOOKUP($S$186,'TAR FIN'!$A$1:$O$85,15,0))</f>
        <v>0</v>
      </c>
      <c r="W186" s="52">
        <f>IF(ISERROR(VLOOKUP($T$186,'TAR FIN'!$A$1:$O$85,15,0)),0,VLOOKUP($T$186,'TAR FIN'!$A$1:$O$85,15,0))*(1-0.04)</f>
        <v>54.6432</v>
      </c>
      <c r="X186" s="52">
        <f>IF(ISERROR(VLOOKUP($U$186,'TAR FIN'!$A$1:$O$85,15,0)),0,VLOOKUP($U$186,'TAR FIN'!$A$1:$O$85,15,0))*(1-0.04)</f>
        <v>257.1936</v>
      </c>
      <c r="Y186" s="52"/>
      <c r="Z186" s="52">
        <f ca="1">('TUSD BE'!$AM$12+'TUSD BF'!$AM$12+'TUSD CVA'!$AM$12)*1*(1-0.02)</f>
        <v>98.144213445836201</v>
      </c>
      <c r="AA186" s="52">
        <f>('TE BE'!$AB$6+'TE BF'!$AB$6+'TE CVA'!$AB$6)*1*(1-0.02)</f>
        <v>181.71240751544846</v>
      </c>
      <c r="AB186" s="4">
        <f>$K$186*$V$186</f>
        <v>0</v>
      </c>
      <c r="AC186" s="4">
        <f>$M$186*$W$186</f>
        <v>5794.9113600000001</v>
      </c>
      <c r="AD186" s="4">
        <f>$O$186*$X$186</f>
        <v>27275.381280000001</v>
      </c>
      <c r="AE186" s="4">
        <f>$K$186*$Y$186</f>
        <v>0</v>
      </c>
      <c r="AF186" s="4">
        <f ca="1">$M$186*$Z$186</f>
        <v>10408.193835930928</v>
      </c>
      <c r="AG186" s="4">
        <f>$O$186*$AA$186</f>
        <v>19270.60081701331</v>
      </c>
    </row>
    <row r="187" spans="1:33" ht="11.25" customHeight="1" x14ac:dyDescent="0.25">
      <c r="A187" s="3" t="s">
        <v>21</v>
      </c>
      <c r="B187" s="3" t="s">
        <v>35</v>
      </c>
      <c r="C187" s="3" t="s">
        <v>36</v>
      </c>
      <c r="D187" s="3" t="s">
        <v>41</v>
      </c>
      <c r="E187" s="3" t="s">
        <v>50</v>
      </c>
      <c r="F187" s="3" t="s">
        <v>25</v>
      </c>
      <c r="G187" s="3" t="s">
        <v>25</v>
      </c>
      <c r="H187" s="3" t="s">
        <v>38</v>
      </c>
      <c r="I187" s="6">
        <v>44743</v>
      </c>
      <c r="J187" s="4">
        <v>0</v>
      </c>
      <c r="K187" s="52">
        <v>0</v>
      </c>
      <c r="L187" s="4">
        <v>361.17</v>
      </c>
      <c r="M187" s="52">
        <v>361.17</v>
      </c>
      <c r="N187" s="4">
        <v>361.17</v>
      </c>
      <c r="O187" s="52">
        <v>361.17</v>
      </c>
      <c r="P187" s="4">
        <v>0</v>
      </c>
      <c r="Q187" s="3" t="s">
        <v>26</v>
      </c>
      <c r="R187" s="3">
        <v>0</v>
      </c>
      <c r="S187" s="4">
        <v>0</v>
      </c>
      <c r="T187" s="4">
        <v>15</v>
      </c>
      <c r="U187" s="4">
        <v>67</v>
      </c>
      <c r="V187" s="52">
        <f>IF(ISERROR(VLOOKUP($S$187,'TAR FIN'!$A$1:$O$85,15,0)),0,VLOOKUP($S$187,'TAR FIN'!$A$1:$O$85,15,0))</f>
        <v>0</v>
      </c>
      <c r="W187" s="52">
        <f>IF(ISERROR(VLOOKUP($T$187,'TAR FIN'!$A$1:$O$85,15,0)),0,VLOOKUP($T$187,'TAR FIN'!$A$1:$O$85,15,0))*(1-0.04)</f>
        <v>54.6432</v>
      </c>
      <c r="X187" s="52">
        <f>IF(ISERROR(VLOOKUP($U$187,'TAR FIN'!$A$1:$O$85,15,0)),0,VLOOKUP($U$187,'TAR FIN'!$A$1:$O$85,15,0))*(1-0.04)</f>
        <v>257.1936</v>
      </c>
      <c r="Y187" s="52"/>
      <c r="Z187" s="52">
        <f ca="1">('TUSD BE'!$AM$12+'TUSD BF'!$AM$12+'TUSD CVA'!$AM$12)*1*(1-0.02)</f>
        <v>98.144213445836201</v>
      </c>
      <c r="AA187" s="52">
        <f>('TE BE'!$AB$6+'TE BF'!$AB$6+'TE CVA'!$AB$6)*1*(1-0.02)</f>
        <v>181.71240751544846</v>
      </c>
      <c r="AB187" s="4">
        <f>$K$187*$V$187</f>
        <v>0</v>
      </c>
      <c r="AC187" s="4">
        <f>$M$187*$W$187</f>
        <v>19735.484544000003</v>
      </c>
      <c r="AD187" s="4">
        <f>$O$187*$X$187</f>
        <v>92890.612512000007</v>
      </c>
      <c r="AE187" s="4">
        <f>$K$187*$Y$187</f>
        <v>0</v>
      </c>
      <c r="AF187" s="4">
        <f ca="1">$M$187*$Z$187</f>
        <v>35446.745570232662</v>
      </c>
      <c r="AG187" s="4">
        <f>$O$187*$AA$187</f>
        <v>65629.070222354523</v>
      </c>
    </row>
    <row r="188" spans="1:33" ht="11.25" customHeight="1" x14ac:dyDescent="0.25">
      <c r="A188" s="3" t="s">
        <v>21</v>
      </c>
      <c r="B188" s="3" t="s">
        <v>35</v>
      </c>
      <c r="C188" s="3" t="s">
        <v>36</v>
      </c>
      <c r="D188" s="3" t="s">
        <v>41</v>
      </c>
      <c r="E188" s="3" t="s">
        <v>50</v>
      </c>
      <c r="F188" s="3" t="s">
        <v>25</v>
      </c>
      <c r="G188" s="3" t="s">
        <v>25</v>
      </c>
      <c r="H188" s="3" t="s">
        <v>38</v>
      </c>
      <c r="I188" s="6">
        <v>44774</v>
      </c>
      <c r="J188" s="4">
        <v>0</v>
      </c>
      <c r="K188" s="52">
        <v>0</v>
      </c>
      <c r="L188" s="4">
        <v>668.76499999999999</v>
      </c>
      <c r="M188" s="52">
        <v>668.76499999999999</v>
      </c>
      <c r="N188" s="4">
        <v>668.76499999999999</v>
      </c>
      <c r="O188" s="52">
        <v>668.76499999999999</v>
      </c>
      <c r="P188" s="4">
        <v>0</v>
      </c>
      <c r="Q188" s="3" t="s">
        <v>26</v>
      </c>
      <c r="R188" s="3">
        <v>0</v>
      </c>
      <c r="S188" s="4">
        <v>0</v>
      </c>
      <c r="T188" s="4">
        <v>15</v>
      </c>
      <c r="U188" s="4">
        <v>67</v>
      </c>
      <c r="V188" s="52">
        <f>IF(ISERROR(VLOOKUP($S$188,'TAR FIN'!$A$1:$O$85,15,0)),0,VLOOKUP($S$188,'TAR FIN'!$A$1:$O$85,15,0))</f>
        <v>0</v>
      </c>
      <c r="W188" s="52">
        <f>IF(ISERROR(VLOOKUP($T$188,'TAR FIN'!$A$1:$O$85,15,0)),0,VLOOKUP($T$188,'TAR FIN'!$A$1:$O$85,15,0))*(1-0.04)</f>
        <v>54.6432</v>
      </c>
      <c r="X188" s="52">
        <f>IF(ISERROR(VLOOKUP($U$188,'TAR FIN'!$A$1:$O$85,15,0)),0,VLOOKUP($U$188,'TAR FIN'!$A$1:$O$85,15,0))*(1-0.04)</f>
        <v>257.1936</v>
      </c>
      <c r="Y188" s="52"/>
      <c r="Z188" s="52">
        <f ca="1">('TUSD BE'!$AM$12+'TUSD BF'!$AM$12+'TUSD CVA'!$AM$12)*1*(1-0.02)</f>
        <v>98.144213445836201</v>
      </c>
      <c r="AA188" s="52">
        <f>('TE BE'!$AB$6+'TE BF'!$AB$6+'TE CVA'!$AB$6)*1*(1-0.02)</f>
        <v>181.71240751544846</v>
      </c>
      <c r="AB188" s="4">
        <f>$K$188*$V$188</f>
        <v>0</v>
      </c>
      <c r="AC188" s="4">
        <f>$M$188*$W$188</f>
        <v>36543.459647999996</v>
      </c>
      <c r="AD188" s="4">
        <f>$O$188*$X$188</f>
        <v>172002.07790400001</v>
      </c>
      <c r="AE188" s="4">
        <f>$K$188*$Y$188</f>
        <v>0</v>
      </c>
      <c r="AF188" s="4">
        <f ca="1">$M$188*$Z$188</f>
        <v>65635.414905104641</v>
      </c>
      <c r="AG188" s="4">
        <f>$O$188*$AA$188</f>
        <v>121522.89821206889</v>
      </c>
    </row>
    <row r="189" spans="1:33" ht="11.25" customHeight="1" x14ac:dyDescent="0.25">
      <c r="A189" s="3" t="s">
        <v>21</v>
      </c>
      <c r="B189" s="3" t="s">
        <v>35</v>
      </c>
      <c r="C189" s="3" t="s">
        <v>36</v>
      </c>
      <c r="D189" s="3" t="s">
        <v>41</v>
      </c>
      <c r="E189" s="3" t="s">
        <v>50</v>
      </c>
      <c r="F189" s="3" t="s">
        <v>25</v>
      </c>
      <c r="G189" s="3" t="s">
        <v>25</v>
      </c>
      <c r="H189" s="3" t="s">
        <v>25</v>
      </c>
      <c r="I189" s="6">
        <v>44440</v>
      </c>
      <c r="J189" s="4">
        <v>3715</v>
      </c>
      <c r="K189" s="52">
        <v>3715</v>
      </c>
      <c r="L189" s="4">
        <v>0</v>
      </c>
      <c r="M189" s="52">
        <v>0</v>
      </c>
      <c r="N189" s="4">
        <v>0</v>
      </c>
      <c r="O189" s="52">
        <v>0</v>
      </c>
      <c r="P189" s="4">
        <v>11</v>
      </c>
      <c r="Q189" s="3" t="s">
        <v>26</v>
      </c>
      <c r="R189" s="3">
        <v>0</v>
      </c>
      <c r="S189" s="4">
        <v>22</v>
      </c>
      <c r="T189" s="4">
        <v>0</v>
      </c>
      <c r="U189" s="4">
        <v>0</v>
      </c>
      <c r="V189" s="52">
        <f>IF(ISERROR(VLOOKUP($S$189,'TAR FIN'!$A$1:$O$85,15,0)),0,VLOOKUP($S$189,'TAR FIN'!$A$1:$O$85,15,0))*(1-0.04)</f>
        <v>21.446400000000001</v>
      </c>
      <c r="W189" s="52">
        <f>IF(ISERROR(VLOOKUP($T$189,'TAR FIN'!$A$1:$O$85,15,0)),0,VLOOKUP($T$189,'TAR FIN'!$A$1:$O$85,15,0))</f>
        <v>0</v>
      </c>
      <c r="X189" s="52">
        <f>IF(ISERROR(VLOOKUP($U$189,'TAR FIN'!$A$1:$O$85,15,0)),0,VLOOKUP($U$189,'TAR FIN'!$A$1:$O$85,15,0))</f>
        <v>0</v>
      </c>
      <c r="Y189" s="52">
        <f ca="1">('TUSD BE'!$AM$10+'TUSD BF'!$AM$10+'TUSD CVA'!$AM$10)*1*(1-0.02)</f>
        <v>27.47945129896609</v>
      </c>
      <c r="Z189" s="52"/>
      <c r="AA189" s="52"/>
      <c r="AB189" s="4">
        <f>$K$189*$V$189</f>
        <v>79673.376000000004</v>
      </c>
      <c r="AC189" s="4">
        <f>$M$189*$W$189</f>
        <v>0</v>
      </c>
      <c r="AD189" s="4">
        <f>$O$189*$X$189</f>
        <v>0</v>
      </c>
      <c r="AE189" s="4">
        <f ca="1">$K$189*$Y$189</f>
        <v>102086.16157565902</v>
      </c>
      <c r="AF189" s="4">
        <f>$M$189*$Z$189</f>
        <v>0</v>
      </c>
      <c r="AG189" s="4">
        <f>$O$189*$AA$189</f>
        <v>0</v>
      </c>
    </row>
    <row r="190" spans="1:33" ht="11.25" customHeight="1" x14ac:dyDescent="0.25">
      <c r="A190" s="3" t="s">
        <v>21</v>
      </c>
      <c r="B190" s="3" t="s">
        <v>35</v>
      </c>
      <c r="C190" s="3" t="s">
        <v>36</v>
      </c>
      <c r="D190" s="3" t="s">
        <v>41</v>
      </c>
      <c r="E190" s="3" t="s">
        <v>50</v>
      </c>
      <c r="F190" s="3" t="s">
        <v>25</v>
      </c>
      <c r="G190" s="3" t="s">
        <v>25</v>
      </c>
      <c r="H190" s="3" t="s">
        <v>25</v>
      </c>
      <c r="I190" s="6">
        <v>44470</v>
      </c>
      <c r="J190" s="4">
        <v>4452</v>
      </c>
      <c r="K190" s="52">
        <v>4452</v>
      </c>
      <c r="L190" s="4">
        <v>0</v>
      </c>
      <c r="M190" s="52">
        <v>0</v>
      </c>
      <c r="N190" s="4">
        <v>0</v>
      </c>
      <c r="O190" s="52">
        <v>0</v>
      </c>
      <c r="P190" s="4">
        <v>11</v>
      </c>
      <c r="Q190" s="3" t="s">
        <v>26</v>
      </c>
      <c r="R190" s="3">
        <v>0</v>
      </c>
      <c r="S190" s="4">
        <v>22</v>
      </c>
      <c r="T190" s="4">
        <v>0</v>
      </c>
      <c r="U190" s="4">
        <v>0</v>
      </c>
      <c r="V190" s="52">
        <f>IF(ISERROR(VLOOKUP($S$190,'TAR FIN'!$A$1:$O$85,15,0)),0,VLOOKUP($S$190,'TAR FIN'!$A$1:$O$85,15,0))*(1-0.04)</f>
        <v>21.446400000000001</v>
      </c>
      <c r="W190" s="52">
        <f>IF(ISERROR(VLOOKUP($T$190,'TAR FIN'!$A$1:$O$85,15,0)),0,VLOOKUP($T$190,'TAR FIN'!$A$1:$O$85,15,0))</f>
        <v>0</v>
      </c>
      <c r="X190" s="52">
        <f>IF(ISERROR(VLOOKUP($U$190,'TAR FIN'!$A$1:$O$85,15,0)),0,VLOOKUP($U$190,'TAR FIN'!$A$1:$O$85,15,0))</f>
        <v>0</v>
      </c>
      <c r="Y190" s="52">
        <f ca="1">('TUSD BE'!$AM$10+'TUSD BF'!$AM$10+'TUSD CVA'!$AM$10)*1*(1-0.02)</f>
        <v>27.47945129896609</v>
      </c>
      <c r="Z190" s="52"/>
      <c r="AA190" s="52"/>
      <c r="AB190" s="4">
        <f>$K$190*$V$190</f>
        <v>95479.372799999997</v>
      </c>
      <c r="AC190" s="4">
        <f>$M$190*$W$190</f>
        <v>0</v>
      </c>
      <c r="AD190" s="4">
        <f>$O$190*$X$190</f>
        <v>0</v>
      </c>
      <c r="AE190" s="4">
        <f ca="1">$K$190*$Y$190</f>
        <v>122338.51718299703</v>
      </c>
      <c r="AF190" s="4">
        <f>$M$190*$Z$190</f>
        <v>0</v>
      </c>
      <c r="AG190" s="4">
        <f>$O$190*$AA$190</f>
        <v>0</v>
      </c>
    </row>
    <row r="191" spans="1:33" ht="11.25" customHeight="1" x14ac:dyDescent="0.25">
      <c r="A191" s="3" t="s">
        <v>21</v>
      </c>
      <c r="B191" s="3" t="s">
        <v>35</v>
      </c>
      <c r="C191" s="3" t="s">
        <v>36</v>
      </c>
      <c r="D191" s="3" t="s">
        <v>41</v>
      </c>
      <c r="E191" s="3" t="s">
        <v>50</v>
      </c>
      <c r="F191" s="3" t="s">
        <v>25</v>
      </c>
      <c r="G191" s="3" t="s">
        <v>25</v>
      </c>
      <c r="H191" s="3" t="s">
        <v>25</v>
      </c>
      <c r="I191" s="6">
        <v>44501</v>
      </c>
      <c r="J191" s="4">
        <v>2411</v>
      </c>
      <c r="K191" s="52">
        <v>2411</v>
      </c>
      <c r="L191" s="4">
        <v>0</v>
      </c>
      <c r="M191" s="52">
        <v>0</v>
      </c>
      <c r="N191" s="4">
        <v>0</v>
      </c>
      <c r="O191" s="52">
        <v>0</v>
      </c>
      <c r="P191" s="4">
        <v>11</v>
      </c>
      <c r="Q191" s="3" t="s">
        <v>26</v>
      </c>
      <c r="R191" s="3">
        <v>0</v>
      </c>
      <c r="S191" s="4">
        <v>22</v>
      </c>
      <c r="T191" s="4">
        <v>0</v>
      </c>
      <c r="U191" s="4">
        <v>0</v>
      </c>
      <c r="V191" s="52">
        <f>IF(ISERROR(VLOOKUP($S$191,'TAR FIN'!$A$1:$O$85,15,0)),0,VLOOKUP($S$191,'TAR FIN'!$A$1:$O$85,15,0))*(1-0.04)</f>
        <v>21.446400000000001</v>
      </c>
      <c r="W191" s="52">
        <f>IF(ISERROR(VLOOKUP($T$191,'TAR FIN'!$A$1:$O$85,15,0)),0,VLOOKUP($T$191,'TAR FIN'!$A$1:$O$85,15,0))</f>
        <v>0</v>
      </c>
      <c r="X191" s="52">
        <f>IF(ISERROR(VLOOKUP($U$191,'TAR FIN'!$A$1:$O$85,15,0)),0,VLOOKUP($U$191,'TAR FIN'!$A$1:$O$85,15,0))</f>
        <v>0</v>
      </c>
      <c r="Y191" s="52">
        <f ca="1">('TUSD BE'!$AM$10+'TUSD BF'!$AM$10+'TUSD CVA'!$AM$10)*1*(1-0.02)</f>
        <v>27.47945129896609</v>
      </c>
      <c r="Z191" s="52"/>
      <c r="AA191" s="52"/>
      <c r="AB191" s="4">
        <f>$K$191*$V$191</f>
        <v>51707.270400000001</v>
      </c>
      <c r="AC191" s="4">
        <f>$M$191*$W$191</f>
        <v>0</v>
      </c>
      <c r="AD191" s="4">
        <f>$O$191*$X$191</f>
        <v>0</v>
      </c>
      <c r="AE191" s="4">
        <f ca="1">$K$191*$Y$191</f>
        <v>66252.957081807239</v>
      </c>
      <c r="AF191" s="4">
        <f>$M$191*$Z$191</f>
        <v>0</v>
      </c>
      <c r="AG191" s="4">
        <f>$O$191*$AA$191</f>
        <v>0</v>
      </c>
    </row>
    <row r="192" spans="1:33" ht="11.25" customHeight="1" x14ac:dyDescent="0.25">
      <c r="A192" s="3" t="s">
        <v>21</v>
      </c>
      <c r="B192" s="3" t="s">
        <v>35</v>
      </c>
      <c r="C192" s="3" t="s">
        <v>36</v>
      </c>
      <c r="D192" s="3" t="s">
        <v>41</v>
      </c>
      <c r="E192" s="3" t="s">
        <v>50</v>
      </c>
      <c r="F192" s="3" t="s">
        <v>25</v>
      </c>
      <c r="G192" s="3" t="s">
        <v>25</v>
      </c>
      <c r="H192" s="3" t="s">
        <v>25</v>
      </c>
      <c r="I192" s="6">
        <v>44531</v>
      </c>
      <c r="J192" s="4">
        <v>1746</v>
      </c>
      <c r="K192" s="52">
        <v>1746</v>
      </c>
      <c r="L192" s="4">
        <v>0</v>
      </c>
      <c r="M192" s="52">
        <v>0</v>
      </c>
      <c r="N192" s="4">
        <v>0</v>
      </c>
      <c r="O192" s="52">
        <v>0</v>
      </c>
      <c r="P192" s="4">
        <v>11</v>
      </c>
      <c r="Q192" s="3" t="s">
        <v>26</v>
      </c>
      <c r="R192" s="3">
        <v>0</v>
      </c>
      <c r="S192" s="4">
        <v>22</v>
      </c>
      <c r="T192" s="4">
        <v>0</v>
      </c>
      <c r="U192" s="4">
        <v>0</v>
      </c>
      <c r="V192" s="52">
        <f>IF(ISERROR(VLOOKUP($S$192,'TAR FIN'!$A$1:$O$85,15,0)),0,VLOOKUP($S$192,'TAR FIN'!$A$1:$O$85,15,0))*(1-0.04)</f>
        <v>21.446400000000001</v>
      </c>
      <c r="W192" s="52">
        <f>IF(ISERROR(VLOOKUP($T$192,'TAR FIN'!$A$1:$O$85,15,0)),0,VLOOKUP($T$192,'TAR FIN'!$A$1:$O$85,15,0))</f>
        <v>0</v>
      </c>
      <c r="X192" s="52">
        <f>IF(ISERROR(VLOOKUP($U$192,'TAR FIN'!$A$1:$O$85,15,0)),0,VLOOKUP($U$192,'TAR FIN'!$A$1:$O$85,15,0))</f>
        <v>0</v>
      </c>
      <c r="Y192" s="52">
        <f ca="1">('TUSD BE'!$AM$10+'TUSD BF'!$AM$10+'TUSD CVA'!$AM$10)*1*(1-0.02)</f>
        <v>27.47945129896609</v>
      </c>
      <c r="Z192" s="52"/>
      <c r="AA192" s="52"/>
      <c r="AB192" s="4">
        <f>$K$192*$V$192</f>
        <v>37445.414400000001</v>
      </c>
      <c r="AC192" s="4">
        <f>$M$192*$W$192</f>
        <v>0</v>
      </c>
      <c r="AD192" s="4">
        <f>$O$192*$X$192</f>
        <v>0</v>
      </c>
      <c r="AE192" s="4">
        <f ca="1">$K$192*$Y$192</f>
        <v>47979.12196799479</v>
      </c>
      <c r="AF192" s="4">
        <f>$M$192*$Z$192</f>
        <v>0</v>
      </c>
      <c r="AG192" s="4">
        <f>$O$192*$AA$192</f>
        <v>0</v>
      </c>
    </row>
    <row r="193" spans="1:33" ht="11.25" customHeight="1" x14ac:dyDescent="0.25">
      <c r="A193" s="3" t="s">
        <v>21</v>
      </c>
      <c r="B193" s="3" t="s">
        <v>35</v>
      </c>
      <c r="C193" s="3" t="s">
        <v>36</v>
      </c>
      <c r="D193" s="3" t="s">
        <v>41</v>
      </c>
      <c r="E193" s="3" t="s">
        <v>50</v>
      </c>
      <c r="F193" s="3" t="s">
        <v>25</v>
      </c>
      <c r="G193" s="3" t="s">
        <v>25</v>
      </c>
      <c r="H193" s="3" t="s">
        <v>25</v>
      </c>
      <c r="I193" s="6">
        <v>44562</v>
      </c>
      <c r="J193" s="4">
        <v>1637</v>
      </c>
      <c r="K193" s="52">
        <v>1637</v>
      </c>
      <c r="L193" s="4">
        <v>0</v>
      </c>
      <c r="M193" s="52">
        <v>0</v>
      </c>
      <c r="N193" s="4">
        <v>0</v>
      </c>
      <c r="O193" s="52">
        <v>0</v>
      </c>
      <c r="P193" s="4">
        <v>11</v>
      </c>
      <c r="Q193" s="3" t="s">
        <v>26</v>
      </c>
      <c r="R193" s="3">
        <v>0</v>
      </c>
      <c r="S193" s="4">
        <v>22</v>
      </c>
      <c r="T193" s="4">
        <v>0</v>
      </c>
      <c r="U193" s="4">
        <v>0</v>
      </c>
      <c r="V193" s="52">
        <f>IF(ISERROR(VLOOKUP($S$193,'TAR FIN'!$A$1:$O$85,15,0)),0,VLOOKUP($S$193,'TAR FIN'!$A$1:$O$85,15,0))*(1-0.04)</f>
        <v>21.446400000000001</v>
      </c>
      <c r="W193" s="52">
        <f>IF(ISERROR(VLOOKUP($T$193,'TAR FIN'!$A$1:$O$85,15,0)),0,VLOOKUP($T$193,'TAR FIN'!$A$1:$O$85,15,0))</f>
        <v>0</v>
      </c>
      <c r="X193" s="52">
        <f>IF(ISERROR(VLOOKUP($U$193,'TAR FIN'!$A$1:$O$85,15,0)),0,VLOOKUP($U$193,'TAR FIN'!$A$1:$O$85,15,0))</f>
        <v>0</v>
      </c>
      <c r="Y193" s="52">
        <f ca="1">('TUSD BE'!$AM$10+'TUSD BF'!$AM$10+'TUSD CVA'!$AM$10)*1*(1-0.02)</f>
        <v>27.47945129896609</v>
      </c>
      <c r="Z193" s="52"/>
      <c r="AA193" s="52"/>
      <c r="AB193" s="4">
        <f>$K$193*$V$193</f>
        <v>35107.756800000003</v>
      </c>
      <c r="AC193" s="4">
        <f>$M$193*$W$193</f>
        <v>0</v>
      </c>
      <c r="AD193" s="4">
        <f>$O$193*$X$193</f>
        <v>0</v>
      </c>
      <c r="AE193" s="4">
        <f ca="1">$K$193*$Y$193</f>
        <v>44983.861776407488</v>
      </c>
      <c r="AF193" s="4">
        <f>$M$193*$Z$193</f>
        <v>0</v>
      </c>
      <c r="AG193" s="4">
        <f>$O$193*$AA$193</f>
        <v>0</v>
      </c>
    </row>
    <row r="194" spans="1:33" ht="11.25" customHeight="1" x14ac:dyDescent="0.25">
      <c r="A194" s="3" t="s">
        <v>21</v>
      </c>
      <c r="B194" s="3" t="s">
        <v>35</v>
      </c>
      <c r="C194" s="3" t="s">
        <v>36</v>
      </c>
      <c r="D194" s="3" t="s">
        <v>41</v>
      </c>
      <c r="E194" s="3" t="s">
        <v>50</v>
      </c>
      <c r="F194" s="3" t="s">
        <v>25</v>
      </c>
      <c r="G194" s="3" t="s">
        <v>25</v>
      </c>
      <c r="H194" s="3" t="s">
        <v>25</v>
      </c>
      <c r="I194" s="6">
        <v>44593</v>
      </c>
      <c r="J194" s="4">
        <v>1986</v>
      </c>
      <c r="K194" s="52">
        <v>1986</v>
      </c>
      <c r="L194" s="4">
        <v>0</v>
      </c>
      <c r="M194" s="52">
        <v>0</v>
      </c>
      <c r="N194" s="4">
        <v>0</v>
      </c>
      <c r="O194" s="52">
        <v>0</v>
      </c>
      <c r="P194" s="4">
        <v>11</v>
      </c>
      <c r="Q194" s="3" t="s">
        <v>26</v>
      </c>
      <c r="R194" s="3">
        <v>0</v>
      </c>
      <c r="S194" s="4">
        <v>22</v>
      </c>
      <c r="T194" s="4">
        <v>0</v>
      </c>
      <c r="U194" s="4">
        <v>0</v>
      </c>
      <c r="V194" s="52">
        <f>IF(ISERROR(VLOOKUP($S$194,'TAR FIN'!$A$1:$O$85,15,0)),0,VLOOKUP($S$194,'TAR FIN'!$A$1:$O$85,15,0))*(1-0.04)</f>
        <v>21.446400000000001</v>
      </c>
      <c r="W194" s="52">
        <f>IF(ISERROR(VLOOKUP($T$194,'TAR FIN'!$A$1:$O$85,15,0)),0,VLOOKUP($T$194,'TAR FIN'!$A$1:$O$85,15,0))</f>
        <v>0</v>
      </c>
      <c r="X194" s="52">
        <f>IF(ISERROR(VLOOKUP($U$194,'TAR FIN'!$A$1:$O$85,15,0)),0,VLOOKUP($U$194,'TAR FIN'!$A$1:$O$85,15,0))</f>
        <v>0</v>
      </c>
      <c r="Y194" s="52">
        <f ca="1">('TUSD BE'!$AM$10+'TUSD BF'!$AM$10+'TUSD CVA'!$AM$10)*1*(1-0.02)</f>
        <v>27.47945129896609</v>
      </c>
      <c r="Z194" s="52"/>
      <c r="AA194" s="52"/>
      <c r="AB194" s="4">
        <f>$K$194*$V$194</f>
        <v>42592.5504</v>
      </c>
      <c r="AC194" s="4">
        <f>$M$194*$W$194</f>
        <v>0</v>
      </c>
      <c r="AD194" s="4">
        <f>$O$194*$X$194</f>
        <v>0</v>
      </c>
      <c r="AE194" s="4">
        <f ca="1">$K$194*$Y$194</f>
        <v>54574.190279746654</v>
      </c>
      <c r="AF194" s="4">
        <f>$M$194*$Z$194</f>
        <v>0</v>
      </c>
      <c r="AG194" s="4">
        <f>$O$194*$AA$194</f>
        <v>0</v>
      </c>
    </row>
    <row r="195" spans="1:33" ht="11.25" customHeight="1" x14ac:dyDescent="0.25">
      <c r="A195" s="3" t="s">
        <v>21</v>
      </c>
      <c r="B195" s="3" t="s">
        <v>35</v>
      </c>
      <c r="C195" s="3" t="s">
        <v>36</v>
      </c>
      <c r="D195" s="3" t="s">
        <v>41</v>
      </c>
      <c r="E195" s="3" t="s">
        <v>50</v>
      </c>
      <c r="F195" s="3" t="s">
        <v>25</v>
      </c>
      <c r="G195" s="3" t="s">
        <v>25</v>
      </c>
      <c r="H195" s="3" t="s">
        <v>25</v>
      </c>
      <c r="I195" s="6">
        <v>44621</v>
      </c>
      <c r="J195" s="4">
        <v>1575</v>
      </c>
      <c r="K195" s="52">
        <v>1575</v>
      </c>
      <c r="L195" s="4">
        <v>0</v>
      </c>
      <c r="M195" s="52">
        <v>0</v>
      </c>
      <c r="N195" s="4">
        <v>0</v>
      </c>
      <c r="O195" s="52">
        <v>0</v>
      </c>
      <c r="P195" s="4">
        <v>10</v>
      </c>
      <c r="Q195" s="3" t="s">
        <v>26</v>
      </c>
      <c r="R195" s="3">
        <v>0</v>
      </c>
      <c r="S195" s="4">
        <v>22</v>
      </c>
      <c r="T195" s="4">
        <v>0</v>
      </c>
      <c r="U195" s="4">
        <v>0</v>
      </c>
      <c r="V195" s="52">
        <f>IF(ISERROR(VLOOKUP($S$195,'TAR FIN'!$A$1:$O$85,15,0)),0,VLOOKUP($S$195,'TAR FIN'!$A$1:$O$85,15,0))*(1-0.04)</f>
        <v>21.446400000000001</v>
      </c>
      <c r="W195" s="52">
        <f>IF(ISERROR(VLOOKUP($T$195,'TAR FIN'!$A$1:$O$85,15,0)),0,VLOOKUP($T$195,'TAR FIN'!$A$1:$O$85,15,0))</f>
        <v>0</v>
      </c>
      <c r="X195" s="52">
        <f>IF(ISERROR(VLOOKUP($U$195,'TAR FIN'!$A$1:$O$85,15,0)),0,VLOOKUP($U$195,'TAR FIN'!$A$1:$O$85,15,0))</f>
        <v>0</v>
      </c>
      <c r="Y195" s="52">
        <f ca="1">('TUSD BE'!$AM$10+'TUSD BF'!$AM$10+'TUSD CVA'!$AM$10)*1*(1-0.02)</f>
        <v>27.47945129896609</v>
      </c>
      <c r="Z195" s="52"/>
      <c r="AA195" s="52"/>
      <c r="AB195" s="4">
        <f>$K$195*$V$195</f>
        <v>33778.080000000002</v>
      </c>
      <c r="AC195" s="4">
        <f>$M$195*$W$195</f>
        <v>0</v>
      </c>
      <c r="AD195" s="4">
        <f>$O$195*$X$195</f>
        <v>0</v>
      </c>
      <c r="AE195" s="4">
        <f ca="1">$K$195*$Y$195</f>
        <v>43280.135795871589</v>
      </c>
      <c r="AF195" s="4">
        <f>$M$195*$Z$195</f>
        <v>0</v>
      </c>
      <c r="AG195" s="4">
        <f>$O$195*$AA$195</f>
        <v>0</v>
      </c>
    </row>
    <row r="196" spans="1:33" ht="11.25" customHeight="1" x14ac:dyDescent="0.25">
      <c r="A196" s="3" t="s">
        <v>21</v>
      </c>
      <c r="B196" s="3" t="s">
        <v>35</v>
      </c>
      <c r="C196" s="3" t="s">
        <v>36</v>
      </c>
      <c r="D196" s="3" t="s">
        <v>41</v>
      </c>
      <c r="E196" s="3" t="s">
        <v>50</v>
      </c>
      <c r="F196" s="3" t="s">
        <v>25</v>
      </c>
      <c r="G196" s="3" t="s">
        <v>25</v>
      </c>
      <c r="H196" s="3" t="s">
        <v>25</v>
      </c>
      <c r="I196" s="6">
        <v>44652</v>
      </c>
      <c r="J196" s="4">
        <v>2641</v>
      </c>
      <c r="K196" s="52">
        <v>2641</v>
      </c>
      <c r="L196" s="4">
        <v>0</v>
      </c>
      <c r="M196" s="52">
        <v>0</v>
      </c>
      <c r="N196" s="4">
        <v>0</v>
      </c>
      <c r="O196" s="52">
        <v>0</v>
      </c>
      <c r="P196" s="4">
        <v>10</v>
      </c>
      <c r="Q196" s="3" t="s">
        <v>26</v>
      </c>
      <c r="R196" s="3">
        <v>0</v>
      </c>
      <c r="S196" s="4">
        <v>22</v>
      </c>
      <c r="T196" s="4">
        <v>0</v>
      </c>
      <c r="U196" s="4">
        <v>0</v>
      </c>
      <c r="V196" s="52">
        <f>IF(ISERROR(VLOOKUP($S$196,'TAR FIN'!$A$1:$O$85,15,0)),0,VLOOKUP($S$196,'TAR FIN'!$A$1:$O$85,15,0))*(1-0.04)</f>
        <v>21.446400000000001</v>
      </c>
      <c r="W196" s="52">
        <f>IF(ISERROR(VLOOKUP($T$196,'TAR FIN'!$A$1:$O$85,15,0)),0,VLOOKUP($T$196,'TAR FIN'!$A$1:$O$85,15,0))</f>
        <v>0</v>
      </c>
      <c r="X196" s="52">
        <f>IF(ISERROR(VLOOKUP($U$196,'TAR FIN'!$A$1:$O$85,15,0)),0,VLOOKUP($U$196,'TAR FIN'!$A$1:$O$85,15,0))</f>
        <v>0</v>
      </c>
      <c r="Y196" s="52">
        <f ca="1">('TUSD BE'!$AM$10+'TUSD BF'!$AM$10+'TUSD CVA'!$AM$10)*1*(1-0.02)</f>
        <v>27.47945129896609</v>
      </c>
      <c r="Z196" s="52"/>
      <c r="AA196" s="52"/>
      <c r="AB196" s="4">
        <f>$K$196*$V$196</f>
        <v>56639.9424</v>
      </c>
      <c r="AC196" s="4">
        <f>$M$196*$W$196</f>
        <v>0</v>
      </c>
      <c r="AD196" s="4">
        <f>$O$196*$X$196</f>
        <v>0</v>
      </c>
      <c r="AE196" s="4">
        <f ca="1">$K$196*$Y$196</f>
        <v>72573.230880569448</v>
      </c>
      <c r="AF196" s="4">
        <f>$M$196*$Z$196</f>
        <v>0</v>
      </c>
      <c r="AG196" s="4">
        <f>$O$196*$AA$196</f>
        <v>0</v>
      </c>
    </row>
    <row r="197" spans="1:33" ht="11.25" customHeight="1" x14ac:dyDescent="0.25">
      <c r="A197" s="3" t="s">
        <v>21</v>
      </c>
      <c r="B197" s="3" t="s">
        <v>35</v>
      </c>
      <c r="C197" s="3" t="s">
        <v>36</v>
      </c>
      <c r="D197" s="3" t="s">
        <v>41</v>
      </c>
      <c r="E197" s="3" t="s">
        <v>50</v>
      </c>
      <c r="F197" s="3" t="s">
        <v>25</v>
      </c>
      <c r="G197" s="3" t="s">
        <v>25</v>
      </c>
      <c r="H197" s="3" t="s">
        <v>25</v>
      </c>
      <c r="I197" s="6">
        <v>44682</v>
      </c>
      <c r="J197" s="4">
        <v>3773</v>
      </c>
      <c r="K197" s="52">
        <v>3773</v>
      </c>
      <c r="L197" s="4">
        <v>0</v>
      </c>
      <c r="M197" s="52">
        <v>0</v>
      </c>
      <c r="N197" s="4">
        <v>0</v>
      </c>
      <c r="O197" s="52">
        <v>0</v>
      </c>
      <c r="P197" s="4">
        <v>11</v>
      </c>
      <c r="Q197" s="3" t="s">
        <v>26</v>
      </c>
      <c r="R197" s="3">
        <v>0</v>
      </c>
      <c r="S197" s="4">
        <v>22</v>
      </c>
      <c r="T197" s="4">
        <v>0</v>
      </c>
      <c r="U197" s="4">
        <v>0</v>
      </c>
      <c r="V197" s="52">
        <f>IF(ISERROR(VLOOKUP($S$197,'TAR FIN'!$A$1:$O$85,15,0)),0,VLOOKUP($S$197,'TAR FIN'!$A$1:$O$85,15,0))*(1-0.04)</f>
        <v>21.446400000000001</v>
      </c>
      <c r="W197" s="52">
        <f>IF(ISERROR(VLOOKUP($T$197,'TAR FIN'!$A$1:$O$85,15,0)),0,VLOOKUP($T$197,'TAR FIN'!$A$1:$O$85,15,0))</f>
        <v>0</v>
      </c>
      <c r="X197" s="52">
        <f>IF(ISERROR(VLOOKUP($U$197,'TAR FIN'!$A$1:$O$85,15,0)),0,VLOOKUP($U$197,'TAR FIN'!$A$1:$O$85,15,0))</f>
        <v>0</v>
      </c>
      <c r="Y197" s="52">
        <f ca="1">('TUSD BE'!$AM$10+'TUSD BF'!$AM$10+'TUSD CVA'!$AM$10)*1*(1-0.02)</f>
        <v>27.47945129896609</v>
      </c>
      <c r="Z197" s="52"/>
      <c r="AA197" s="52"/>
      <c r="AB197" s="4">
        <f>$K$197*$V$197</f>
        <v>80917.267200000002</v>
      </c>
      <c r="AC197" s="4">
        <f>$M$197*$W$197</f>
        <v>0</v>
      </c>
      <c r="AD197" s="4">
        <f>$O$197*$X$197</f>
        <v>0</v>
      </c>
      <c r="AE197" s="4">
        <f ca="1">$K$197*$Y$197</f>
        <v>103679.96975099905</v>
      </c>
      <c r="AF197" s="4">
        <f>$M$197*$Z$197</f>
        <v>0</v>
      </c>
      <c r="AG197" s="4">
        <f>$O$197*$AA$197</f>
        <v>0</v>
      </c>
    </row>
    <row r="198" spans="1:33" ht="11.25" customHeight="1" x14ac:dyDescent="0.25">
      <c r="A198" s="3" t="s">
        <v>21</v>
      </c>
      <c r="B198" s="3" t="s">
        <v>35</v>
      </c>
      <c r="C198" s="3" t="s">
        <v>36</v>
      </c>
      <c r="D198" s="3" t="s">
        <v>41</v>
      </c>
      <c r="E198" s="3" t="s">
        <v>50</v>
      </c>
      <c r="F198" s="3" t="s">
        <v>25</v>
      </c>
      <c r="G198" s="3" t="s">
        <v>25</v>
      </c>
      <c r="H198" s="3" t="s">
        <v>25</v>
      </c>
      <c r="I198" s="6">
        <v>44713</v>
      </c>
      <c r="J198" s="4">
        <v>3144</v>
      </c>
      <c r="K198" s="52">
        <v>3144</v>
      </c>
      <c r="L198" s="4">
        <v>0</v>
      </c>
      <c r="M198" s="52">
        <v>0</v>
      </c>
      <c r="N198" s="4">
        <v>0</v>
      </c>
      <c r="O198" s="52">
        <v>0</v>
      </c>
      <c r="P198" s="4">
        <v>11</v>
      </c>
      <c r="Q198" s="3" t="s">
        <v>26</v>
      </c>
      <c r="R198" s="3">
        <v>0</v>
      </c>
      <c r="S198" s="4">
        <v>22</v>
      </c>
      <c r="T198" s="4">
        <v>0</v>
      </c>
      <c r="U198" s="4">
        <v>0</v>
      </c>
      <c r="V198" s="52">
        <f>IF(ISERROR(VLOOKUP($S$198,'TAR FIN'!$A$1:$O$85,15,0)),0,VLOOKUP($S$198,'TAR FIN'!$A$1:$O$85,15,0))*(1-0.04)</f>
        <v>21.446400000000001</v>
      </c>
      <c r="W198" s="52">
        <f>IF(ISERROR(VLOOKUP($T$198,'TAR FIN'!$A$1:$O$85,15,0)),0,VLOOKUP($T$198,'TAR FIN'!$A$1:$O$85,15,0))</f>
        <v>0</v>
      </c>
      <c r="X198" s="52">
        <f>IF(ISERROR(VLOOKUP($U$198,'TAR FIN'!$A$1:$O$85,15,0)),0,VLOOKUP($U$198,'TAR FIN'!$A$1:$O$85,15,0))</f>
        <v>0</v>
      </c>
      <c r="Y198" s="52">
        <f ca="1">('TUSD BE'!$AM$10+'TUSD BF'!$AM$10+'TUSD CVA'!$AM$10)*1*(1-0.02)</f>
        <v>27.47945129896609</v>
      </c>
      <c r="Z198" s="52"/>
      <c r="AA198" s="52"/>
      <c r="AB198" s="4">
        <f>$K$198*$V$198</f>
        <v>67427.481599999999</v>
      </c>
      <c r="AC198" s="4">
        <f>$M$198*$W$198</f>
        <v>0</v>
      </c>
      <c r="AD198" s="4">
        <f>$O$198*$X$198</f>
        <v>0</v>
      </c>
      <c r="AE198" s="4">
        <f ca="1">$K$198*$Y$198</f>
        <v>86395.394883949382</v>
      </c>
      <c r="AF198" s="4">
        <f>$M$198*$Z$198</f>
        <v>0</v>
      </c>
      <c r="AG198" s="4">
        <f>$O$198*$AA$198</f>
        <v>0</v>
      </c>
    </row>
    <row r="199" spans="1:33" ht="11.25" customHeight="1" x14ac:dyDescent="0.25">
      <c r="A199" s="3" t="s">
        <v>21</v>
      </c>
      <c r="B199" s="3" t="s">
        <v>35</v>
      </c>
      <c r="C199" s="3" t="s">
        <v>36</v>
      </c>
      <c r="D199" s="3" t="s">
        <v>41</v>
      </c>
      <c r="E199" s="3" t="s">
        <v>50</v>
      </c>
      <c r="F199" s="3" t="s">
        <v>25</v>
      </c>
      <c r="G199" s="3" t="s">
        <v>25</v>
      </c>
      <c r="H199" s="3" t="s">
        <v>25</v>
      </c>
      <c r="I199" s="6">
        <v>44743</v>
      </c>
      <c r="J199" s="4">
        <v>3147</v>
      </c>
      <c r="K199" s="52">
        <v>3147</v>
      </c>
      <c r="L199" s="4">
        <v>0</v>
      </c>
      <c r="M199" s="52">
        <v>0</v>
      </c>
      <c r="N199" s="4">
        <v>0</v>
      </c>
      <c r="O199" s="52">
        <v>0</v>
      </c>
      <c r="P199" s="4">
        <v>11</v>
      </c>
      <c r="Q199" s="3" t="s">
        <v>26</v>
      </c>
      <c r="R199" s="3">
        <v>0</v>
      </c>
      <c r="S199" s="4">
        <v>22</v>
      </c>
      <c r="T199" s="4">
        <v>0</v>
      </c>
      <c r="U199" s="4">
        <v>0</v>
      </c>
      <c r="V199" s="52">
        <f>IF(ISERROR(VLOOKUP($S$199,'TAR FIN'!$A$1:$O$85,15,0)),0,VLOOKUP($S$199,'TAR FIN'!$A$1:$O$85,15,0))*(1-0.04)</f>
        <v>21.446400000000001</v>
      </c>
      <c r="W199" s="52">
        <f>IF(ISERROR(VLOOKUP($T$199,'TAR FIN'!$A$1:$O$85,15,0)),0,VLOOKUP($T$199,'TAR FIN'!$A$1:$O$85,15,0))</f>
        <v>0</v>
      </c>
      <c r="X199" s="52">
        <f>IF(ISERROR(VLOOKUP($U$199,'TAR FIN'!$A$1:$O$85,15,0)),0,VLOOKUP($U$199,'TAR FIN'!$A$1:$O$85,15,0))</f>
        <v>0</v>
      </c>
      <c r="Y199" s="52">
        <f ca="1">('TUSD BE'!$AM$10+'TUSD BF'!$AM$10+'TUSD CVA'!$AM$10)*1*(1-0.02)</f>
        <v>27.47945129896609</v>
      </c>
      <c r="Z199" s="52"/>
      <c r="AA199" s="52"/>
      <c r="AB199" s="4">
        <f>$K$199*$V$199</f>
        <v>67491.820800000001</v>
      </c>
      <c r="AC199" s="4">
        <f>$M$199*$W$199</f>
        <v>0</v>
      </c>
      <c r="AD199" s="4">
        <f>$O$199*$X$199</f>
        <v>0</v>
      </c>
      <c r="AE199" s="4">
        <f ca="1">$K$199*$Y$199</f>
        <v>86477.83323784628</v>
      </c>
      <c r="AF199" s="4">
        <f>$M$199*$Z$199</f>
        <v>0</v>
      </c>
      <c r="AG199" s="4">
        <f>$O$199*$AA$199</f>
        <v>0</v>
      </c>
    </row>
    <row r="200" spans="1:33" ht="11.25" customHeight="1" x14ac:dyDescent="0.25">
      <c r="A200" s="3" t="s">
        <v>21</v>
      </c>
      <c r="B200" s="3" t="s">
        <v>35</v>
      </c>
      <c r="C200" s="3" t="s">
        <v>36</v>
      </c>
      <c r="D200" s="3" t="s">
        <v>41</v>
      </c>
      <c r="E200" s="3" t="s">
        <v>50</v>
      </c>
      <c r="F200" s="3" t="s">
        <v>25</v>
      </c>
      <c r="G200" s="3" t="s">
        <v>25</v>
      </c>
      <c r="H200" s="3" t="s">
        <v>25</v>
      </c>
      <c r="I200" s="6">
        <v>44774</v>
      </c>
      <c r="J200" s="4">
        <v>3975</v>
      </c>
      <c r="K200" s="52">
        <v>3975</v>
      </c>
      <c r="L200" s="4">
        <v>0</v>
      </c>
      <c r="M200" s="52">
        <v>0</v>
      </c>
      <c r="N200" s="4">
        <v>0</v>
      </c>
      <c r="O200" s="52">
        <v>0</v>
      </c>
      <c r="P200" s="4">
        <v>11</v>
      </c>
      <c r="Q200" s="3" t="s">
        <v>26</v>
      </c>
      <c r="R200" s="3">
        <v>0</v>
      </c>
      <c r="S200" s="4">
        <v>22</v>
      </c>
      <c r="T200" s="4">
        <v>0</v>
      </c>
      <c r="U200" s="4">
        <v>0</v>
      </c>
      <c r="V200" s="52">
        <f>IF(ISERROR(VLOOKUP($S$200,'TAR FIN'!$A$1:$O$85,15,0)),0,VLOOKUP($S$200,'TAR FIN'!$A$1:$O$85,15,0))*(1-0.04)</f>
        <v>21.446400000000001</v>
      </c>
      <c r="W200" s="52">
        <f>IF(ISERROR(VLOOKUP($T$200,'TAR FIN'!$A$1:$O$85,15,0)),0,VLOOKUP($T$200,'TAR FIN'!$A$1:$O$85,15,0))</f>
        <v>0</v>
      </c>
      <c r="X200" s="52">
        <f>IF(ISERROR(VLOOKUP($U$200,'TAR FIN'!$A$1:$O$85,15,0)),0,VLOOKUP($U$200,'TAR FIN'!$A$1:$O$85,15,0))</f>
        <v>0</v>
      </c>
      <c r="Y200" s="52">
        <f ca="1">('TUSD BE'!$AM$10+'TUSD BF'!$AM$10+'TUSD CVA'!$AM$10)*1*(1-0.02)</f>
        <v>27.47945129896609</v>
      </c>
      <c r="Z200" s="52"/>
      <c r="AA200" s="52"/>
      <c r="AB200" s="4">
        <f>$K$200*$V$200</f>
        <v>85249.44</v>
      </c>
      <c r="AC200" s="4">
        <f>$M$200*$W$200</f>
        <v>0</v>
      </c>
      <c r="AD200" s="4">
        <f>$O$200*$X$200</f>
        <v>0</v>
      </c>
      <c r="AE200" s="4">
        <f ca="1">$K$200*$Y$200</f>
        <v>109230.81891339021</v>
      </c>
      <c r="AF200" s="4">
        <f>$M$200*$Z$200</f>
        <v>0</v>
      </c>
      <c r="AG200" s="4">
        <f>$O$200*$AA$200</f>
        <v>0</v>
      </c>
    </row>
    <row r="201" spans="1:33" ht="11.25" customHeight="1" x14ac:dyDescent="0.25">
      <c r="A201" s="3" t="s">
        <v>21</v>
      </c>
      <c r="B201" s="3" t="s">
        <v>35</v>
      </c>
      <c r="C201" s="3" t="s">
        <v>36</v>
      </c>
      <c r="D201" s="3" t="s">
        <v>41</v>
      </c>
      <c r="E201" s="3" t="s">
        <v>50</v>
      </c>
      <c r="F201" s="3" t="s">
        <v>25</v>
      </c>
      <c r="G201" s="3" t="s">
        <v>25</v>
      </c>
      <c r="H201" s="3" t="s">
        <v>37</v>
      </c>
      <c r="I201" s="6">
        <v>44440</v>
      </c>
      <c r="J201" s="4">
        <v>0</v>
      </c>
      <c r="K201" s="52">
        <v>0</v>
      </c>
      <c r="L201" s="4">
        <v>11.597</v>
      </c>
      <c r="M201" s="52">
        <v>11.597</v>
      </c>
      <c r="N201" s="4">
        <v>11.597</v>
      </c>
      <c r="O201" s="52">
        <v>11.597</v>
      </c>
      <c r="P201" s="4">
        <v>0</v>
      </c>
      <c r="Q201" s="3" t="s">
        <v>26</v>
      </c>
      <c r="R201" s="3">
        <v>0</v>
      </c>
      <c r="S201" s="4">
        <v>0</v>
      </c>
      <c r="T201" s="4">
        <v>33</v>
      </c>
      <c r="U201" s="4">
        <v>51</v>
      </c>
      <c r="V201" s="52">
        <f>IF(ISERROR(VLOOKUP($S$201,'TAR FIN'!$A$1:$O$85,15,0)),0,VLOOKUP($S$201,'TAR FIN'!$A$1:$O$85,15,0))</f>
        <v>0</v>
      </c>
      <c r="W201" s="52">
        <f>IF(ISERROR(VLOOKUP($T$201,'TAR FIN'!$A$1:$O$85,15,0)),0,VLOOKUP($T$201,'TAR FIN'!$A$1:$O$85,15,0))*(1-0.04)</f>
        <v>1859.4623999999999</v>
      </c>
      <c r="X201" s="52">
        <f>IF(ISERROR(VLOOKUP($U$201,'TAR FIN'!$A$1:$O$85,15,0)),0,VLOOKUP($U$201,'TAR FIN'!$A$1:$O$85,15,0))*(1-0.04)</f>
        <v>257.1936</v>
      </c>
      <c r="Y201" s="52"/>
      <c r="Z201" s="52">
        <f ca="1">('TUSD BE'!$AM$11+'TUSD BF'!$AM$11+'TUSD CVA'!$AM$11)*1*(1-0.02)</f>
        <v>2163.0303623265568</v>
      </c>
      <c r="AA201" s="52">
        <f>('TE BE'!$AB$5+'TE BF'!$AB$5+'TE CVA'!$AB$5)*1*(1-0.02)</f>
        <v>181.71240751544846</v>
      </c>
      <c r="AB201" s="4">
        <f>$K$201*$V$201</f>
        <v>0</v>
      </c>
      <c r="AC201" s="4">
        <f>$M$201*$W$201</f>
        <v>21564.185452799997</v>
      </c>
      <c r="AD201" s="4">
        <f>$O$201*$X$201</f>
        <v>2982.6741791999998</v>
      </c>
      <c r="AE201" s="4">
        <f>$K$201*$Y$201</f>
        <v>0</v>
      </c>
      <c r="AF201" s="4">
        <f ca="1">$M$201*$Z$201</f>
        <v>25084.663111901078</v>
      </c>
      <c r="AG201" s="4">
        <f>$O$201*$AA$201</f>
        <v>2107.3187899566556</v>
      </c>
    </row>
    <row r="202" spans="1:33" ht="11.25" customHeight="1" x14ac:dyDescent="0.25">
      <c r="A202" s="3" t="s">
        <v>21</v>
      </c>
      <c r="B202" s="3" t="s">
        <v>35</v>
      </c>
      <c r="C202" s="3" t="s">
        <v>36</v>
      </c>
      <c r="D202" s="3" t="s">
        <v>41</v>
      </c>
      <c r="E202" s="3" t="s">
        <v>50</v>
      </c>
      <c r="F202" s="3" t="s">
        <v>25</v>
      </c>
      <c r="G202" s="3" t="s">
        <v>25</v>
      </c>
      <c r="H202" s="3" t="s">
        <v>37</v>
      </c>
      <c r="I202" s="6">
        <v>44470</v>
      </c>
      <c r="J202" s="4">
        <v>0</v>
      </c>
      <c r="K202" s="52">
        <v>0</v>
      </c>
      <c r="L202" s="4">
        <v>15.912000000000001</v>
      </c>
      <c r="M202" s="52">
        <v>15.912000000000001</v>
      </c>
      <c r="N202" s="4">
        <v>15.912000000000001</v>
      </c>
      <c r="O202" s="52">
        <v>15.912000000000001</v>
      </c>
      <c r="P202" s="4">
        <v>0</v>
      </c>
      <c r="Q202" s="3" t="s">
        <v>26</v>
      </c>
      <c r="R202" s="3">
        <v>0</v>
      </c>
      <c r="S202" s="4">
        <v>0</v>
      </c>
      <c r="T202" s="4">
        <v>33</v>
      </c>
      <c r="U202" s="4">
        <v>51</v>
      </c>
      <c r="V202" s="52">
        <f>IF(ISERROR(VLOOKUP($S$202,'TAR FIN'!$A$1:$O$85,15,0)),0,VLOOKUP($S$202,'TAR FIN'!$A$1:$O$85,15,0))</f>
        <v>0</v>
      </c>
      <c r="W202" s="52">
        <f>IF(ISERROR(VLOOKUP($T$202,'TAR FIN'!$A$1:$O$85,15,0)),0,VLOOKUP($T$202,'TAR FIN'!$A$1:$O$85,15,0))*(1-0.04)</f>
        <v>1859.4623999999999</v>
      </c>
      <c r="X202" s="52">
        <f>IF(ISERROR(VLOOKUP($U$202,'TAR FIN'!$A$1:$O$85,15,0)),0,VLOOKUP($U$202,'TAR FIN'!$A$1:$O$85,15,0))*(1-0.04)</f>
        <v>257.1936</v>
      </c>
      <c r="Y202" s="52"/>
      <c r="Z202" s="52">
        <f ca="1">('TUSD BE'!$AM$11+'TUSD BF'!$AM$11+'TUSD CVA'!$AM$11)*1*(1-0.02)</f>
        <v>2163.0303623265568</v>
      </c>
      <c r="AA202" s="52">
        <f>('TE BE'!$AB$5+'TE BF'!$AB$5+'TE CVA'!$AB$5)*1*(1-0.02)</f>
        <v>181.71240751544846</v>
      </c>
      <c r="AB202" s="4">
        <f>$K$202*$V$202</f>
        <v>0</v>
      </c>
      <c r="AC202" s="4">
        <f>$M$202*$W$202</f>
        <v>29587.765708800001</v>
      </c>
      <c r="AD202" s="4">
        <f>$O$202*$X$202</f>
        <v>4092.4645632000002</v>
      </c>
      <c r="AE202" s="4">
        <f>$K$202*$Y$202</f>
        <v>0</v>
      </c>
      <c r="AF202" s="4">
        <f ca="1">$M$202*$Z$202</f>
        <v>34418.139125340174</v>
      </c>
      <c r="AG202" s="4">
        <f>$O$202*$AA$202</f>
        <v>2891.4078283858162</v>
      </c>
    </row>
    <row r="203" spans="1:33" ht="11.25" customHeight="1" x14ac:dyDescent="0.25">
      <c r="A203" s="3" t="s">
        <v>21</v>
      </c>
      <c r="B203" s="3" t="s">
        <v>35</v>
      </c>
      <c r="C203" s="3" t="s">
        <v>36</v>
      </c>
      <c r="D203" s="3" t="s">
        <v>41</v>
      </c>
      <c r="E203" s="3" t="s">
        <v>50</v>
      </c>
      <c r="F203" s="3" t="s">
        <v>25</v>
      </c>
      <c r="G203" s="3" t="s">
        <v>25</v>
      </c>
      <c r="H203" s="3" t="s">
        <v>37</v>
      </c>
      <c r="I203" s="6">
        <v>44501</v>
      </c>
      <c r="J203" s="4">
        <v>0</v>
      </c>
      <c r="K203" s="52">
        <v>0</v>
      </c>
      <c r="L203" s="4">
        <v>8.5220000000000002</v>
      </c>
      <c r="M203" s="52">
        <v>8.5220000000000002</v>
      </c>
      <c r="N203" s="4">
        <v>8.5220000000000002</v>
      </c>
      <c r="O203" s="52">
        <v>8.5220000000000002</v>
      </c>
      <c r="P203" s="4">
        <v>0</v>
      </c>
      <c r="Q203" s="3" t="s">
        <v>26</v>
      </c>
      <c r="R203" s="3">
        <v>0</v>
      </c>
      <c r="S203" s="4">
        <v>0</v>
      </c>
      <c r="T203" s="4">
        <v>33</v>
      </c>
      <c r="U203" s="4">
        <v>51</v>
      </c>
      <c r="V203" s="52">
        <f>IF(ISERROR(VLOOKUP($S$203,'TAR FIN'!$A$1:$O$85,15,0)),0,VLOOKUP($S$203,'TAR FIN'!$A$1:$O$85,15,0))</f>
        <v>0</v>
      </c>
      <c r="W203" s="52">
        <f>IF(ISERROR(VLOOKUP($T$203,'TAR FIN'!$A$1:$O$85,15,0)),0,VLOOKUP($T$203,'TAR FIN'!$A$1:$O$85,15,0))*(1-0.04)</f>
        <v>1859.4623999999999</v>
      </c>
      <c r="X203" s="52">
        <f>IF(ISERROR(VLOOKUP($U$203,'TAR FIN'!$A$1:$O$85,15,0)),0,VLOOKUP($U$203,'TAR FIN'!$A$1:$O$85,15,0))*(1-0.04)</f>
        <v>257.1936</v>
      </c>
      <c r="Y203" s="52"/>
      <c r="Z203" s="52">
        <f ca="1">('TUSD BE'!$AM$11+'TUSD BF'!$AM$11+'TUSD CVA'!$AM$11)*1*(1-0.02)</f>
        <v>2163.0303623265568</v>
      </c>
      <c r="AA203" s="52">
        <f>('TE BE'!$AB$5+'TE BF'!$AB$5+'TE CVA'!$AB$5)*1*(1-0.02)</f>
        <v>181.71240751544846</v>
      </c>
      <c r="AB203" s="4">
        <f>$K$203*$V$203</f>
        <v>0</v>
      </c>
      <c r="AC203" s="4">
        <f>$M$203*$W$203</f>
        <v>15846.338572799999</v>
      </c>
      <c r="AD203" s="4">
        <f>$O$203*$X$203</f>
        <v>2191.8038592000003</v>
      </c>
      <c r="AE203" s="4">
        <f>$K$203*$Y$203</f>
        <v>0</v>
      </c>
      <c r="AF203" s="4">
        <f ca="1">$M$203*$Z$203</f>
        <v>18433.344747746916</v>
      </c>
      <c r="AG203" s="4">
        <f>$O$203*$AA$203</f>
        <v>1548.5531368466518</v>
      </c>
    </row>
    <row r="204" spans="1:33" ht="11.25" customHeight="1" x14ac:dyDescent="0.25">
      <c r="A204" s="3" t="s">
        <v>21</v>
      </c>
      <c r="B204" s="3" t="s">
        <v>35</v>
      </c>
      <c r="C204" s="3" t="s">
        <v>36</v>
      </c>
      <c r="D204" s="3" t="s">
        <v>41</v>
      </c>
      <c r="E204" s="3" t="s">
        <v>50</v>
      </c>
      <c r="F204" s="3" t="s">
        <v>25</v>
      </c>
      <c r="G204" s="3" t="s">
        <v>25</v>
      </c>
      <c r="H204" s="3" t="s">
        <v>37</v>
      </c>
      <c r="I204" s="6">
        <v>44531</v>
      </c>
      <c r="J204" s="4">
        <v>0</v>
      </c>
      <c r="K204" s="52">
        <v>0</v>
      </c>
      <c r="L204" s="4">
        <v>3.88</v>
      </c>
      <c r="M204" s="52">
        <v>3.88</v>
      </c>
      <c r="N204" s="4">
        <v>3.88</v>
      </c>
      <c r="O204" s="52">
        <v>3.88</v>
      </c>
      <c r="P204" s="4">
        <v>0</v>
      </c>
      <c r="Q204" s="3" t="s">
        <v>26</v>
      </c>
      <c r="R204" s="3">
        <v>0</v>
      </c>
      <c r="S204" s="4">
        <v>0</v>
      </c>
      <c r="T204" s="4">
        <v>33</v>
      </c>
      <c r="U204" s="4">
        <v>51</v>
      </c>
      <c r="V204" s="52">
        <f>IF(ISERROR(VLOOKUP($S$204,'TAR FIN'!$A$1:$O$85,15,0)),0,VLOOKUP($S$204,'TAR FIN'!$A$1:$O$85,15,0))</f>
        <v>0</v>
      </c>
      <c r="W204" s="52">
        <f>IF(ISERROR(VLOOKUP($T$204,'TAR FIN'!$A$1:$O$85,15,0)),0,VLOOKUP($T$204,'TAR FIN'!$A$1:$O$85,15,0))*(1-0.04)</f>
        <v>1859.4623999999999</v>
      </c>
      <c r="X204" s="52">
        <f>IF(ISERROR(VLOOKUP($U$204,'TAR FIN'!$A$1:$O$85,15,0)),0,VLOOKUP($U$204,'TAR FIN'!$A$1:$O$85,15,0))*(1-0.04)</f>
        <v>257.1936</v>
      </c>
      <c r="Y204" s="52"/>
      <c r="Z204" s="52">
        <f ca="1">('TUSD BE'!$AM$11+'TUSD BF'!$AM$11+'TUSD CVA'!$AM$11)*1*(1-0.02)</f>
        <v>2163.0303623265568</v>
      </c>
      <c r="AA204" s="52">
        <f>('TE BE'!$AB$5+'TE BF'!$AB$5+'TE CVA'!$AB$5)*1*(1-0.02)</f>
        <v>181.71240751544846</v>
      </c>
      <c r="AB204" s="4">
        <f>$K$204*$V$204</f>
        <v>0</v>
      </c>
      <c r="AC204" s="4">
        <f>$M$204*$W$204</f>
        <v>7214.7141119999997</v>
      </c>
      <c r="AD204" s="4">
        <f>$O$204*$X$204</f>
        <v>997.91116799999998</v>
      </c>
      <c r="AE204" s="4">
        <f>$K$204*$Y$204</f>
        <v>0</v>
      </c>
      <c r="AF204" s="4">
        <f ca="1">$M$204*$Z$204</f>
        <v>8392.5578058270403</v>
      </c>
      <c r="AG204" s="4">
        <f>$O$204*$AA$204</f>
        <v>705.04414115993995</v>
      </c>
    </row>
    <row r="205" spans="1:33" ht="11.25" customHeight="1" x14ac:dyDescent="0.25">
      <c r="A205" s="3" t="s">
        <v>21</v>
      </c>
      <c r="B205" s="3" t="s">
        <v>35</v>
      </c>
      <c r="C205" s="3" t="s">
        <v>36</v>
      </c>
      <c r="D205" s="3" t="s">
        <v>41</v>
      </c>
      <c r="E205" s="3" t="s">
        <v>50</v>
      </c>
      <c r="F205" s="3" t="s">
        <v>25</v>
      </c>
      <c r="G205" s="3" t="s">
        <v>25</v>
      </c>
      <c r="H205" s="3" t="s">
        <v>37</v>
      </c>
      <c r="I205" s="6">
        <v>44562</v>
      </c>
      <c r="J205" s="4">
        <v>0</v>
      </c>
      <c r="K205" s="52">
        <v>0</v>
      </c>
      <c r="L205" s="4">
        <v>4.8959999999999999</v>
      </c>
      <c r="M205" s="52">
        <v>4.8959999999999999</v>
      </c>
      <c r="N205" s="4">
        <v>4.8959999999999999</v>
      </c>
      <c r="O205" s="52">
        <v>4.8959999999999999</v>
      </c>
      <c r="P205" s="4">
        <v>0</v>
      </c>
      <c r="Q205" s="3" t="s">
        <v>26</v>
      </c>
      <c r="R205" s="3">
        <v>0</v>
      </c>
      <c r="S205" s="4">
        <v>0</v>
      </c>
      <c r="T205" s="4">
        <v>33</v>
      </c>
      <c r="U205" s="4">
        <v>51</v>
      </c>
      <c r="V205" s="52">
        <f>IF(ISERROR(VLOOKUP($S$205,'TAR FIN'!$A$1:$O$85,15,0)),0,VLOOKUP($S$205,'TAR FIN'!$A$1:$O$85,15,0))</f>
        <v>0</v>
      </c>
      <c r="W205" s="52">
        <f>IF(ISERROR(VLOOKUP($T$205,'TAR FIN'!$A$1:$O$85,15,0)),0,VLOOKUP($T$205,'TAR FIN'!$A$1:$O$85,15,0))*(1-0.04)</f>
        <v>1859.4623999999999</v>
      </c>
      <c r="X205" s="52">
        <f>IF(ISERROR(VLOOKUP($U$205,'TAR FIN'!$A$1:$O$85,15,0)),0,VLOOKUP($U$205,'TAR FIN'!$A$1:$O$85,15,0))*(1-0.04)</f>
        <v>257.1936</v>
      </c>
      <c r="Y205" s="52"/>
      <c r="Z205" s="52">
        <f ca="1">('TUSD BE'!$AM$11+'TUSD BF'!$AM$11+'TUSD CVA'!$AM$11)*1*(1-0.02)</f>
        <v>2163.0303623265568</v>
      </c>
      <c r="AA205" s="52">
        <f>('TE BE'!$AB$5+'TE BF'!$AB$5+'TE CVA'!$AB$5)*1*(1-0.02)</f>
        <v>181.71240751544846</v>
      </c>
      <c r="AB205" s="4">
        <f>$K$205*$V$205</f>
        <v>0</v>
      </c>
      <c r="AC205" s="4">
        <f>$M$205*$W$205</f>
        <v>9103.9279103999997</v>
      </c>
      <c r="AD205" s="4">
        <f>$O$205*$X$205</f>
        <v>1259.2198656</v>
      </c>
      <c r="AE205" s="4">
        <f>$K$205*$Y$205</f>
        <v>0</v>
      </c>
      <c r="AF205" s="4">
        <f ca="1">$M$205*$Z$205</f>
        <v>10590.196653950821</v>
      </c>
      <c r="AG205" s="4">
        <f>$O$205*$AA$205</f>
        <v>889.66394719563561</v>
      </c>
    </row>
    <row r="206" spans="1:33" ht="11.25" customHeight="1" x14ac:dyDescent="0.25">
      <c r="A206" s="3" t="s">
        <v>21</v>
      </c>
      <c r="B206" s="3" t="s">
        <v>35</v>
      </c>
      <c r="C206" s="3" t="s">
        <v>36</v>
      </c>
      <c r="D206" s="3" t="s">
        <v>41</v>
      </c>
      <c r="E206" s="3" t="s">
        <v>50</v>
      </c>
      <c r="F206" s="3" t="s">
        <v>25</v>
      </c>
      <c r="G206" s="3" t="s">
        <v>25</v>
      </c>
      <c r="H206" s="3" t="s">
        <v>37</v>
      </c>
      <c r="I206" s="6">
        <v>44593</v>
      </c>
      <c r="J206" s="4">
        <v>0</v>
      </c>
      <c r="K206" s="52">
        <v>0</v>
      </c>
      <c r="L206" s="4">
        <v>5.0060000000000002</v>
      </c>
      <c r="M206" s="52">
        <v>5.0060000000000002</v>
      </c>
      <c r="N206" s="4">
        <v>5.0060000000000002</v>
      </c>
      <c r="O206" s="52">
        <v>5.0060000000000002</v>
      </c>
      <c r="P206" s="4">
        <v>0</v>
      </c>
      <c r="Q206" s="3" t="s">
        <v>26</v>
      </c>
      <c r="R206" s="3">
        <v>0</v>
      </c>
      <c r="S206" s="4">
        <v>0</v>
      </c>
      <c r="T206" s="4">
        <v>33</v>
      </c>
      <c r="U206" s="4">
        <v>51</v>
      </c>
      <c r="V206" s="52">
        <f>IF(ISERROR(VLOOKUP($S$206,'TAR FIN'!$A$1:$O$85,15,0)),0,VLOOKUP($S$206,'TAR FIN'!$A$1:$O$85,15,0))</f>
        <v>0</v>
      </c>
      <c r="W206" s="52">
        <f>IF(ISERROR(VLOOKUP($T$206,'TAR FIN'!$A$1:$O$85,15,0)),0,VLOOKUP($T$206,'TAR FIN'!$A$1:$O$85,15,0))*(1-0.04)</f>
        <v>1859.4623999999999</v>
      </c>
      <c r="X206" s="52">
        <f>IF(ISERROR(VLOOKUP($U$206,'TAR FIN'!$A$1:$O$85,15,0)),0,VLOOKUP($U$206,'TAR FIN'!$A$1:$O$85,15,0))*(1-0.04)</f>
        <v>257.1936</v>
      </c>
      <c r="Y206" s="52"/>
      <c r="Z206" s="52">
        <f ca="1">('TUSD BE'!$AM$11+'TUSD BF'!$AM$11+'TUSD CVA'!$AM$11)*1*(1-0.02)</f>
        <v>2163.0303623265568</v>
      </c>
      <c r="AA206" s="52">
        <f>('TE BE'!$AB$5+'TE BF'!$AB$5+'TE CVA'!$AB$5)*1*(1-0.02)</f>
        <v>181.71240751544846</v>
      </c>
      <c r="AB206" s="4">
        <f>$K$206*$V$206</f>
        <v>0</v>
      </c>
      <c r="AC206" s="4">
        <f>$M$206*$W$206</f>
        <v>9308.4687744000003</v>
      </c>
      <c r="AD206" s="4">
        <f>$O$206*$X$206</f>
        <v>1287.5111616000002</v>
      </c>
      <c r="AE206" s="4">
        <f>$K$206*$Y$206</f>
        <v>0</v>
      </c>
      <c r="AF206" s="4">
        <f ca="1">$M$206*$Z$206</f>
        <v>10828.129993806744</v>
      </c>
      <c r="AG206" s="4">
        <f>$O$206*$AA$206</f>
        <v>909.65231202233508</v>
      </c>
    </row>
    <row r="207" spans="1:33" ht="11.25" customHeight="1" x14ac:dyDescent="0.25">
      <c r="A207" s="3" t="s">
        <v>21</v>
      </c>
      <c r="B207" s="3" t="s">
        <v>35</v>
      </c>
      <c r="C207" s="3" t="s">
        <v>36</v>
      </c>
      <c r="D207" s="3" t="s">
        <v>41</v>
      </c>
      <c r="E207" s="3" t="s">
        <v>50</v>
      </c>
      <c r="F207" s="3" t="s">
        <v>25</v>
      </c>
      <c r="G207" s="3" t="s">
        <v>25</v>
      </c>
      <c r="H207" s="3" t="s">
        <v>37</v>
      </c>
      <c r="I207" s="6">
        <v>44621</v>
      </c>
      <c r="J207" s="4">
        <v>0</v>
      </c>
      <c r="K207" s="52">
        <v>0</v>
      </c>
      <c r="L207" s="4">
        <v>3.8980000000000001</v>
      </c>
      <c r="M207" s="52">
        <v>3.8980000000000001</v>
      </c>
      <c r="N207" s="4">
        <v>3.8980000000000001</v>
      </c>
      <c r="O207" s="52">
        <v>3.8980000000000001</v>
      </c>
      <c r="P207" s="4">
        <v>0</v>
      </c>
      <c r="Q207" s="3" t="s">
        <v>26</v>
      </c>
      <c r="R207" s="3">
        <v>0</v>
      </c>
      <c r="S207" s="4">
        <v>0</v>
      </c>
      <c r="T207" s="4">
        <v>33</v>
      </c>
      <c r="U207" s="4">
        <v>51</v>
      </c>
      <c r="V207" s="52">
        <f>IF(ISERROR(VLOOKUP($S$207,'TAR FIN'!$A$1:$O$85,15,0)),0,VLOOKUP($S$207,'TAR FIN'!$A$1:$O$85,15,0))</f>
        <v>0</v>
      </c>
      <c r="W207" s="52">
        <f>IF(ISERROR(VLOOKUP($T$207,'TAR FIN'!$A$1:$O$85,15,0)),0,VLOOKUP($T$207,'TAR FIN'!$A$1:$O$85,15,0))*(1-0.04)</f>
        <v>1859.4623999999999</v>
      </c>
      <c r="X207" s="52">
        <f>IF(ISERROR(VLOOKUP($U$207,'TAR FIN'!$A$1:$O$85,15,0)),0,VLOOKUP($U$207,'TAR FIN'!$A$1:$O$85,15,0))*(1-0.04)</f>
        <v>257.1936</v>
      </c>
      <c r="Y207" s="52"/>
      <c r="Z207" s="52">
        <f ca="1">('TUSD BE'!$AM$11+'TUSD BF'!$AM$11+'TUSD CVA'!$AM$11)*1*(1-0.02)</f>
        <v>2163.0303623265568</v>
      </c>
      <c r="AA207" s="52">
        <f>('TE BE'!$AB$5+'TE BF'!$AB$5+'TE CVA'!$AB$5)*1*(1-0.02)</f>
        <v>181.71240751544846</v>
      </c>
      <c r="AB207" s="4">
        <f>$K$207*$V$207</f>
        <v>0</v>
      </c>
      <c r="AC207" s="4">
        <f>$M$207*$W$207</f>
        <v>7248.1844351999998</v>
      </c>
      <c r="AD207" s="4">
        <f>$O$207*$X$207</f>
        <v>1002.5406528000001</v>
      </c>
      <c r="AE207" s="4">
        <f>$K$207*$Y$207</f>
        <v>0</v>
      </c>
      <c r="AF207" s="4">
        <f ca="1">$M$207*$Z$207</f>
        <v>8431.4923523489178</v>
      </c>
      <c r="AG207" s="4">
        <f>$O$207*$AA$207</f>
        <v>708.31496449521808</v>
      </c>
    </row>
    <row r="208" spans="1:33" ht="11.25" customHeight="1" x14ac:dyDescent="0.25">
      <c r="A208" s="3" t="s">
        <v>21</v>
      </c>
      <c r="B208" s="3" t="s">
        <v>35</v>
      </c>
      <c r="C208" s="3" t="s">
        <v>36</v>
      </c>
      <c r="D208" s="3" t="s">
        <v>41</v>
      </c>
      <c r="E208" s="3" t="s">
        <v>50</v>
      </c>
      <c r="F208" s="3" t="s">
        <v>25</v>
      </c>
      <c r="G208" s="3" t="s">
        <v>25</v>
      </c>
      <c r="H208" s="3" t="s">
        <v>37</v>
      </c>
      <c r="I208" s="6">
        <v>44652</v>
      </c>
      <c r="J208" s="4">
        <v>0</v>
      </c>
      <c r="K208" s="52">
        <v>0</v>
      </c>
      <c r="L208" s="4">
        <v>4.7699999999999996</v>
      </c>
      <c r="M208" s="52">
        <v>4.7699999999999996</v>
      </c>
      <c r="N208" s="4">
        <v>4.7699999999999996</v>
      </c>
      <c r="O208" s="52">
        <v>4.7699999999999996</v>
      </c>
      <c r="P208" s="4">
        <v>0</v>
      </c>
      <c r="Q208" s="3" t="s">
        <v>26</v>
      </c>
      <c r="R208" s="3">
        <v>0</v>
      </c>
      <c r="S208" s="4">
        <v>0</v>
      </c>
      <c r="T208" s="4">
        <v>33</v>
      </c>
      <c r="U208" s="4">
        <v>51</v>
      </c>
      <c r="V208" s="52">
        <f>IF(ISERROR(VLOOKUP($S$208,'TAR FIN'!$A$1:$O$85,15,0)),0,VLOOKUP($S$208,'TAR FIN'!$A$1:$O$85,15,0))</f>
        <v>0</v>
      </c>
      <c r="W208" s="52">
        <f>IF(ISERROR(VLOOKUP($T$208,'TAR FIN'!$A$1:$O$85,15,0)),0,VLOOKUP($T$208,'TAR FIN'!$A$1:$O$85,15,0))*(1-0.04)</f>
        <v>1859.4623999999999</v>
      </c>
      <c r="X208" s="52">
        <f>IF(ISERROR(VLOOKUP($U$208,'TAR FIN'!$A$1:$O$85,15,0)),0,VLOOKUP($U$208,'TAR FIN'!$A$1:$O$85,15,0))*(1-0.04)</f>
        <v>257.1936</v>
      </c>
      <c r="Y208" s="52"/>
      <c r="Z208" s="52">
        <f ca="1">('TUSD BE'!$AM$11+'TUSD BF'!$AM$11+'TUSD CVA'!$AM$11)*1*(1-0.02)</f>
        <v>2163.0303623265568</v>
      </c>
      <c r="AA208" s="52">
        <f>('TE BE'!$AB$5+'TE BF'!$AB$5+'TE CVA'!$AB$5)*1*(1-0.02)</f>
        <v>181.71240751544846</v>
      </c>
      <c r="AB208" s="4">
        <f>$K$208*$V$208</f>
        <v>0</v>
      </c>
      <c r="AC208" s="4">
        <f>$M$208*$W$208</f>
        <v>8869.6356479999995</v>
      </c>
      <c r="AD208" s="4">
        <f>$O$208*$X$208</f>
        <v>1226.8134719999998</v>
      </c>
      <c r="AE208" s="4">
        <f>$K$208*$Y$208</f>
        <v>0</v>
      </c>
      <c r="AF208" s="4">
        <f ca="1">$M$208*$Z$208</f>
        <v>10317.654828297675</v>
      </c>
      <c r="AG208" s="4">
        <f>$O$208*$AA$208</f>
        <v>866.76818384868909</v>
      </c>
    </row>
    <row r="209" spans="1:33" ht="11.25" customHeight="1" x14ac:dyDescent="0.25">
      <c r="A209" s="3" t="s">
        <v>21</v>
      </c>
      <c r="B209" s="3" t="s">
        <v>35</v>
      </c>
      <c r="C209" s="3" t="s">
        <v>36</v>
      </c>
      <c r="D209" s="3" t="s">
        <v>41</v>
      </c>
      <c r="E209" s="3" t="s">
        <v>50</v>
      </c>
      <c r="F209" s="3" t="s">
        <v>25</v>
      </c>
      <c r="G209" s="3" t="s">
        <v>25</v>
      </c>
      <c r="H209" s="3" t="s">
        <v>37</v>
      </c>
      <c r="I209" s="6">
        <v>44682</v>
      </c>
      <c r="J209" s="4">
        <v>0</v>
      </c>
      <c r="K209" s="52">
        <v>0</v>
      </c>
      <c r="L209" s="4">
        <v>4.7590000000000003</v>
      </c>
      <c r="M209" s="52">
        <v>4.7590000000000003</v>
      </c>
      <c r="N209" s="4">
        <v>4.7590000000000003</v>
      </c>
      <c r="O209" s="52">
        <v>4.7590000000000003</v>
      </c>
      <c r="P209" s="4">
        <v>0</v>
      </c>
      <c r="Q209" s="3" t="s">
        <v>26</v>
      </c>
      <c r="R209" s="3">
        <v>0</v>
      </c>
      <c r="S209" s="4">
        <v>0</v>
      </c>
      <c r="T209" s="4">
        <v>33</v>
      </c>
      <c r="U209" s="4">
        <v>51</v>
      </c>
      <c r="V209" s="52">
        <f>IF(ISERROR(VLOOKUP($S$209,'TAR FIN'!$A$1:$O$85,15,0)),0,VLOOKUP($S$209,'TAR FIN'!$A$1:$O$85,15,0))</f>
        <v>0</v>
      </c>
      <c r="W209" s="52">
        <f>IF(ISERROR(VLOOKUP($T$209,'TAR FIN'!$A$1:$O$85,15,0)),0,VLOOKUP($T$209,'TAR FIN'!$A$1:$O$85,15,0))*(1-0.04)</f>
        <v>1859.4623999999999</v>
      </c>
      <c r="X209" s="52">
        <f>IF(ISERROR(VLOOKUP($U$209,'TAR FIN'!$A$1:$O$85,15,0)),0,VLOOKUP($U$209,'TAR FIN'!$A$1:$O$85,15,0))*(1-0.04)</f>
        <v>257.1936</v>
      </c>
      <c r="Y209" s="52"/>
      <c r="Z209" s="52">
        <f ca="1">('TUSD BE'!$AM$11+'TUSD BF'!$AM$11+'TUSD CVA'!$AM$11)*1*(1-0.02)</f>
        <v>2163.0303623265568</v>
      </c>
      <c r="AA209" s="52">
        <f>('TE BE'!$AB$5+'TE BF'!$AB$5+'TE CVA'!$AB$5)*1*(1-0.02)</f>
        <v>181.71240751544846</v>
      </c>
      <c r="AB209" s="4">
        <f>$K$209*$V$209</f>
        <v>0</v>
      </c>
      <c r="AC209" s="4">
        <f>$M$209*$W$209</f>
        <v>8849.1815616000004</v>
      </c>
      <c r="AD209" s="4">
        <f>$O$209*$X$209</f>
        <v>1223.9843424000001</v>
      </c>
      <c r="AE209" s="4">
        <f>$K$209*$Y$209</f>
        <v>0</v>
      </c>
      <c r="AF209" s="4">
        <f ca="1">$M$209*$Z$209</f>
        <v>10293.861494312085</v>
      </c>
      <c r="AG209" s="4">
        <f>$O$209*$AA$209</f>
        <v>864.76934736601925</v>
      </c>
    </row>
    <row r="210" spans="1:33" ht="11.25" customHeight="1" x14ac:dyDescent="0.25">
      <c r="A210" s="3" t="s">
        <v>21</v>
      </c>
      <c r="B210" s="3" t="s">
        <v>35</v>
      </c>
      <c r="C210" s="3" t="s">
        <v>36</v>
      </c>
      <c r="D210" s="3" t="s">
        <v>41</v>
      </c>
      <c r="E210" s="3" t="s">
        <v>50</v>
      </c>
      <c r="F210" s="3" t="s">
        <v>25</v>
      </c>
      <c r="G210" s="3" t="s">
        <v>25</v>
      </c>
      <c r="H210" s="3" t="s">
        <v>37</v>
      </c>
      <c r="I210" s="6">
        <v>44713</v>
      </c>
      <c r="J210" s="4">
        <v>0</v>
      </c>
      <c r="K210" s="52">
        <v>0</v>
      </c>
      <c r="L210" s="4">
        <v>4.8280000000000003</v>
      </c>
      <c r="M210" s="52">
        <v>4.8280000000000003</v>
      </c>
      <c r="N210" s="4">
        <v>4.8280000000000003</v>
      </c>
      <c r="O210" s="52">
        <v>4.8280000000000003</v>
      </c>
      <c r="P210" s="4">
        <v>0</v>
      </c>
      <c r="Q210" s="3" t="s">
        <v>26</v>
      </c>
      <c r="R210" s="3">
        <v>0</v>
      </c>
      <c r="S210" s="4">
        <v>0</v>
      </c>
      <c r="T210" s="4">
        <v>33</v>
      </c>
      <c r="U210" s="4">
        <v>51</v>
      </c>
      <c r="V210" s="52">
        <f>IF(ISERROR(VLOOKUP($S$210,'TAR FIN'!$A$1:$O$85,15,0)),0,VLOOKUP($S$210,'TAR FIN'!$A$1:$O$85,15,0))</f>
        <v>0</v>
      </c>
      <c r="W210" s="52">
        <f>IF(ISERROR(VLOOKUP($T$210,'TAR FIN'!$A$1:$O$85,15,0)),0,VLOOKUP($T$210,'TAR FIN'!$A$1:$O$85,15,0))*(1-0.04)</f>
        <v>1859.4623999999999</v>
      </c>
      <c r="X210" s="52">
        <f>IF(ISERROR(VLOOKUP($U$210,'TAR FIN'!$A$1:$O$85,15,0)),0,VLOOKUP($U$210,'TAR FIN'!$A$1:$O$85,15,0))*(1-0.04)</f>
        <v>257.1936</v>
      </c>
      <c r="Y210" s="52"/>
      <c r="Z210" s="52">
        <f ca="1">('TUSD BE'!$AM$11+'TUSD BF'!$AM$11+'TUSD CVA'!$AM$11)*1*(1-0.02)</f>
        <v>2163.0303623265568</v>
      </c>
      <c r="AA210" s="52">
        <f>('TE BE'!$AB$5+'TE BF'!$AB$5+'TE CVA'!$AB$5)*1*(1-0.02)</f>
        <v>181.71240751544846</v>
      </c>
      <c r="AB210" s="4">
        <f>$K$210*$V$210</f>
        <v>0</v>
      </c>
      <c r="AC210" s="4">
        <f>$M$210*$W$210</f>
        <v>8977.4844671999999</v>
      </c>
      <c r="AD210" s="4">
        <f>$O$210*$X$210</f>
        <v>1241.7307008</v>
      </c>
      <c r="AE210" s="4">
        <f>$K$210*$Y$210</f>
        <v>0</v>
      </c>
      <c r="AF210" s="4">
        <f ca="1">$M$210*$Z$210</f>
        <v>10443.110589312617</v>
      </c>
      <c r="AG210" s="4">
        <f>$O$210*$AA$210</f>
        <v>877.30750348458525</v>
      </c>
    </row>
    <row r="211" spans="1:33" ht="11.25" customHeight="1" x14ac:dyDescent="0.25">
      <c r="A211" s="3" t="s">
        <v>21</v>
      </c>
      <c r="B211" s="3" t="s">
        <v>35</v>
      </c>
      <c r="C211" s="3" t="s">
        <v>36</v>
      </c>
      <c r="D211" s="3" t="s">
        <v>41</v>
      </c>
      <c r="E211" s="3" t="s">
        <v>50</v>
      </c>
      <c r="F211" s="3" t="s">
        <v>25</v>
      </c>
      <c r="G211" s="3" t="s">
        <v>25</v>
      </c>
      <c r="H211" s="3" t="s">
        <v>37</v>
      </c>
      <c r="I211" s="6">
        <v>44743</v>
      </c>
      <c r="J211" s="4">
        <v>0</v>
      </c>
      <c r="K211" s="52">
        <v>0</v>
      </c>
      <c r="L211" s="4">
        <v>6.4169999999999998</v>
      </c>
      <c r="M211" s="52">
        <v>6.4169999999999998</v>
      </c>
      <c r="N211" s="4">
        <v>6.4169999999999998</v>
      </c>
      <c r="O211" s="52">
        <v>6.4169999999999998</v>
      </c>
      <c r="P211" s="4">
        <v>0</v>
      </c>
      <c r="Q211" s="3" t="s">
        <v>26</v>
      </c>
      <c r="R211" s="3">
        <v>0</v>
      </c>
      <c r="S211" s="4">
        <v>0</v>
      </c>
      <c r="T211" s="4">
        <v>33</v>
      </c>
      <c r="U211" s="4">
        <v>51</v>
      </c>
      <c r="V211" s="52">
        <f>IF(ISERROR(VLOOKUP($S$211,'TAR FIN'!$A$1:$O$85,15,0)),0,VLOOKUP($S$211,'TAR FIN'!$A$1:$O$85,15,0))</f>
        <v>0</v>
      </c>
      <c r="W211" s="52">
        <f>IF(ISERROR(VLOOKUP($T$211,'TAR FIN'!$A$1:$O$85,15,0)),0,VLOOKUP($T$211,'TAR FIN'!$A$1:$O$85,15,0))*(1-0.04)</f>
        <v>1859.4623999999999</v>
      </c>
      <c r="X211" s="52">
        <f>IF(ISERROR(VLOOKUP($U$211,'TAR FIN'!$A$1:$O$85,15,0)),0,VLOOKUP($U$211,'TAR FIN'!$A$1:$O$85,15,0))*(1-0.04)</f>
        <v>257.1936</v>
      </c>
      <c r="Y211" s="52"/>
      <c r="Z211" s="52">
        <f ca="1">('TUSD BE'!$AM$11+'TUSD BF'!$AM$11+'TUSD CVA'!$AM$11)*1*(1-0.02)</f>
        <v>2163.0303623265568</v>
      </c>
      <c r="AA211" s="52">
        <f>('TE BE'!$AB$5+'TE BF'!$AB$5+'TE CVA'!$AB$5)*1*(1-0.02)</f>
        <v>181.71240751544846</v>
      </c>
      <c r="AB211" s="4">
        <f>$K$211*$V$211</f>
        <v>0</v>
      </c>
      <c r="AC211" s="4">
        <f>$M$211*$W$211</f>
        <v>11932.170220799999</v>
      </c>
      <c r="AD211" s="4">
        <f>$O$211*$X$211</f>
        <v>1650.4113311999999</v>
      </c>
      <c r="AE211" s="4">
        <f>$K$211*$Y$211</f>
        <v>0</v>
      </c>
      <c r="AF211" s="4">
        <f ca="1">$M$211*$Z$211</f>
        <v>13880.165835049514</v>
      </c>
      <c r="AG211" s="4">
        <f>$O$211*$AA$211</f>
        <v>1166.0485190266327</v>
      </c>
    </row>
    <row r="212" spans="1:33" ht="11.25" customHeight="1" x14ac:dyDescent="0.25">
      <c r="A212" s="3" t="s">
        <v>21</v>
      </c>
      <c r="B212" s="3" t="s">
        <v>35</v>
      </c>
      <c r="C212" s="3" t="s">
        <v>36</v>
      </c>
      <c r="D212" s="3" t="s">
        <v>41</v>
      </c>
      <c r="E212" s="3" t="s">
        <v>50</v>
      </c>
      <c r="F212" s="3" t="s">
        <v>25</v>
      </c>
      <c r="G212" s="3" t="s">
        <v>25</v>
      </c>
      <c r="H212" s="3" t="s">
        <v>37</v>
      </c>
      <c r="I212" s="6">
        <v>44774</v>
      </c>
      <c r="J212" s="4">
        <v>0</v>
      </c>
      <c r="K212" s="52">
        <v>0</v>
      </c>
      <c r="L212" s="4">
        <v>17.626000000000001</v>
      </c>
      <c r="M212" s="52">
        <v>17.626000000000001</v>
      </c>
      <c r="N212" s="4">
        <v>17.626000000000001</v>
      </c>
      <c r="O212" s="52">
        <v>17.626000000000001</v>
      </c>
      <c r="P212" s="4">
        <v>0</v>
      </c>
      <c r="Q212" s="3" t="s">
        <v>26</v>
      </c>
      <c r="R212" s="3">
        <v>0</v>
      </c>
      <c r="S212" s="4">
        <v>0</v>
      </c>
      <c r="T212" s="4">
        <v>33</v>
      </c>
      <c r="U212" s="4">
        <v>51</v>
      </c>
      <c r="V212" s="52">
        <f>IF(ISERROR(VLOOKUP($S$212,'TAR FIN'!$A$1:$O$85,15,0)),0,VLOOKUP($S$212,'TAR FIN'!$A$1:$O$85,15,0))</f>
        <v>0</v>
      </c>
      <c r="W212" s="52">
        <f>IF(ISERROR(VLOOKUP($T$212,'TAR FIN'!$A$1:$O$85,15,0)),0,VLOOKUP($T$212,'TAR FIN'!$A$1:$O$85,15,0))*(1-0.04)</f>
        <v>1859.4623999999999</v>
      </c>
      <c r="X212" s="52">
        <f>IF(ISERROR(VLOOKUP($U$212,'TAR FIN'!$A$1:$O$85,15,0)),0,VLOOKUP($U$212,'TAR FIN'!$A$1:$O$85,15,0))*(1-0.04)</f>
        <v>257.1936</v>
      </c>
      <c r="Y212" s="52"/>
      <c r="Z212" s="52">
        <f ca="1">('TUSD BE'!$AM$11+'TUSD BF'!$AM$11+'TUSD CVA'!$AM$11)*1*(1-0.02)</f>
        <v>2163.0303623265568</v>
      </c>
      <c r="AA212" s="52">
        <f>('TE BE'!$AB$5+'TE BF'!$AB$5+'TE CVA'!$AB$5)*1*(1-0.02)</f>
        <v>181.71240751544846</v>
      </c>
      <c r="AB212" s="4">
        <f>$K$212*$V$212</f>
        <v>0</v>
      </c>
      <c r="AC212" s="4">
        <f>$M$212*$W$212</f>
        <v>32774.884262400003</v>
      </c>
      <c r="AD212" s="4">
        <f>$O$212*$X$212</f>
        <v>4533.2943936000001</v>
      </c>
      <c r="AE212" s="4">
        <f>$K$212*$Y$212</f>
        <v>0</v>
      </c>
      <c r="AF212" s="4">
        <f ca="1">$M$212*$Z$212</f>
        <v>38125.573166367889</v>
      </c>
      <c r="AG212" s="4">
        <f>$O$212*$AA$212</f>
        <v>3202.8628948672949</v>
      </c>
    </row>
    <row r="213" spans="1:33" ht="11.25" customHeight="1" x14ac:dyDescent="0.25">
      <c r="A213" s="3" t="s">
        <v>21</v>
      </c>
      <c r="B213" s="3" t="s">
        <v>35</v>
      </c>
      <c r="C213" s="3" t="s">
        <v>36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38</v>
      </c>
      <c r="I213" s="6">
        <v>44440</v>
      </c>
      <c r="J213" s="4">
        <v>0</v>
      </c>
      <c r="K213" s="52">
        <v>0</v>
      </c>
      <c r="L213" s="4">
        <v>48.719000000000001</v>
      </c>
      <c r="M213" s="52">
        <v>48.719000000000001</v>
      </c>
      <c r="N213" s="4">
        <v>48.719000000000001</v>
      </c>
      <c r="O213" s="52">
        <v>48.719000000000001</v>
      </c>
      <c r="P213" s="4">
        <v>0</v>
      </c>
      <c r="Q213" s="3" t="s">
        <v>26</v>
      </c>
      <c r="R213" s="3">
        <v>0</v>
      </c>
      <c r="S213" s="4">
        <v>0</v>
      </c>
      <c r="T213" s="4">
        <v>15</v>
      </c>
      <c r="U213" s="4">
        <v>67</v>
      </c>
      <c r="V213" s="52">
        <f>IF(ISERROR(VLOOKUP($S$213,'TAR FIN'!$A$1:$O$85,15,0)),0,VLOOKUP($S$213,'TAR FIN'!$A$1:$O$85,15,0))</f>
        <v>0</v>
      </c>
      <c r="W213" s="52">
        <f>IF(ISERROR(VLOOKUP($T$213,'TAR FIN'!$A$1:$O$85,15,0)),0,VLOOKUP($T$213,'TAR FIN'!$A$1:$O$85,15,0))*(1-0.04)</f>
        <v>54.6432</v>
      </c>
      <c r="X213" s="52">
        <f>IF(ISERROR(VLOOKUP($U$213,'TAR FIN'!$A$1:$O$85,15,0)),0,VLOOKUP($U$213,'TAR FIN'!$A$1:$O$85,15,0))*(1-0.04)</f>
        <v>257.1936</v>
      </c>
      <c r="Y213" s="52"/>
      <c r="Z213" s="52">
        <f ca="1">('TUSD BE'!$AM$12+'TUSD BF'!$AM$12+'TUSD CVA'!$AM$12)*1*(1-0.02)</f>
        <v>98.144213445836201</v>
      </c>
      <c r="AA213" s="52">
        <f>('TE BE'!$AB$6+'TE BF'!$AB$6+'TE CVA'!$AB$6)*1*(1-0.02)</f>
        <v>181.71240751544846</v>
      </c>
      <c r="AB213" s="4">
        <f>$K$213*$V$213</f>
        <v>0</v>
      </c>
      <c r="AC213" s="4">
        <f>$M$213*$W$213</f>
        <v>2662.1620608000003</v>
      </c>
      <c r="AD213" s="4">
        <f>$O$213*$X$213</f>
        <v>12530.214998400001</v>
      </c>
      <c r="AE213" s="4">
        <f>$K$213*$Y$213</f>
        <v>0</v>
      </c>
      <c r="AF213" s="4">
        <f ca="1">$M$213*$Z$213</f>
        <v>4781.4879348676941</v>
      </c>
      <c r="AG213" s="4">
        <f>$O$213*$AA$213</f>
        <v>8852.8467817451346</v>
      </c>
    </row>
    <row r="214" spans="1:33" ht="11.25" customHeight="1" x14ac:dyDescent="0.25">
      <c r="A214" s="3" t="s">
        <v>21</v>
      </c>
      <c r="B214" s="3" t="s">
        <v>35</v>
      </c>
      <c r="C214" s="3" t="s">
        <v>36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38</v>
      </c>
      <c r="I214" s="6">
        <v>44470</v>
      </c>
      <c r="J214" s="4">
        <v>0</v>
      </c>
      <c r="K214" s="52">
        <v>0</v>
      </c>
      <c r="L214" s="4">
        <v>18.87</v>
      </c>
      <c r="M214" s="52">
        <v>18.87</v>
      </c>
      <c r="N214" s="4">
        <v>18.87</v>
      </c>
      <c r="O214" s="52">
        <v>18.87</v>
      </c>
      <c r="P214" s="4">
        <v>0</v>
      </c>
      <c r="Q214" s="3" t="s">
        <v>26</v>
      </c>
      <c r="R214" s="3">
        <v>0</v>
      </c>
      <c r="S214" s="4">
        <v>0</v>
      </c>
      <c r="T214" s="4">
        <v>15</v>
      </c>
      <c r="U214" s="4">
        <v>67</v>
      </c>
      <c r="V214" s="52">
        <f>IF(ISERROR(VLOOKUP($S$214,'TAR FIN'!$A$1:$O$85,15,0)),0,VLOOKUP($S$214,'TAR FIN'!$A$1:$O$85,15,0))</f>
        <v>0</v>
      </c>
      <c r="W214" s="52">
        <f>IF(ISERROR(VLOOKUP($T$214,'TAR FIN'!$A$1:$O$85,15,0)),0,VLOOKUP($T$214,'TAR FIN'!$A$1:$O$85,15,0))*(1-0.04)</f>
        <v>54.6432</v>
      </c>
      <c r="X214" s="52">
        <f>IF(ISERROR(VLOOKUP($U$214,'TAR FIN'!$A$1:$O$85,15,0)),0,VLOOKUP($U$214,'TAR FIN'!$A$1:$O$85,15,0))*(1-0.04)</f>
        <v>257.1936</v>
      </c>
      <c r="Y214" s="52"/>
      <c r="Z214" s="52">
        <f ca="1">('TUSD BE'!$AM$12+'TUSD BF'!$AM$12+'TUSD CVA'!$AM$12)*1*(1-0.02)</f>
        <v>98.144213445836201</v>
      </c>
      <c r="AA214" s="52">
        <f>('TE BE'!$AB$6+'TE BF'!$AB$6+'TE CVA'!$AB$6)*1*(1-0.02)</f>
        <v>181.71240751544846</v>
      </c>
      <c r="AB214" s="4">
        <f>$K$214*$V$214</f>
        <v>0</v>
      </c>
      <c r="AC214" s="4">
        <f>$M$214*$W$214</f>
        <v>1031.117184</v>
      </c>
      <c r="AD214" s="4">
        <f>$O$214*$X$214</f>
        <v>4853.2432320000007</v>
      </c>
      <c r="AE214" s="4">
        <f>$K$214*$Y$214</f>
        <v>0</v>
      </c>
      <c r="AF214" s="4">
        <f ca="1">$M$214*$Z$214</f>
        <v>1851.9813077229292</v>
      </c>
      <c r="AG214" s="4">
        <f>$O$214*$AA$214</f>
        <v>3428.9131298165125</v>
      </c>
    </row>
    <row r="215" spans="1:33" ht="11.25" customHeight="1" x14ac:dyDescent="0.25">
      <c r="A215" s="3" t="s">
        <v>21</v>
      </c>
      <c r="B215" s="3" t="s">
        <v>35</v>
      </c>
      <c r="C215" s="3" t="s">
        <v>36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38</v>
      </c>
      <c r="I215" s="6">
        <v>44501</v>
      </c>
      <c r="J215" s="4">
        <v>0</v>
      </c>
      <c r="K215" s="52">
        <v>0</v>
      </c>
      <c r="L215" s="4">
        <v>16.084</v>
      </c>
      <c r="M215" s="52">
        <v>16.084</v>
      </c>
      <c r="N215" s="4">
        <v>16.084</v>
      </c>
      <c r="O215" s="52">
        <v>16.084</v>
      </c>
      <c r="P215" s="4">
        <v>0</v>
      </c>
      <c r="Q215" s="3" t="s">
        <v>26</v>
      </c>
      <c r="R215" s="3">
        <v>0</v>
      </c>
      <c r="S215" s="4">
        <v>0</v>
      </c>
      <c r="T215" s="4">
        <v>15</v>
      </c>
      <c r="U215" s="4">
        <v>67</v>
      </c>
      <c r="V215" s="52">
        <f>IF(ISERROR(VLOOKUP($S$215,'TAR FIN'!$A$1:$O$85,15,0)),0,VLOOKUP($S$215,'TAR FIN'!$A$1:$O$85,15,0))</f>
        <v>0</v>
      </c>
      <c r="W215" s="52">
        <f>IF(ISERROR(VLOOKUP($T$215,'TAR FIN'!$A$1:$O$85,15,0)),0,VLOOKUP($T$215,'TAR FIN'!$A$1:$O$85,15,0))*(1-0.04)</f>
        <v>54.6432</v>
      </c>
      <c r="X215" s="52">
        <f>IF(ISERROR(VLOOKUP($U$215,'TAR FIN'!$A$1:$O$85,15,0)),0,VLOOKUP($U$215,'TAR FIN'!$A$1:$O$85,15,0))*(1-0.04)</f>
        <v>257.1936</v>
      </c>
      <c r="Y215" s="52"/>
      <c r="Z215" s="52">
        <f ca="1">('TUSD BE'!$AM$12+'TUSD BF'!$AM$12+'TUSD CVA'!$AM$12)*1*(1-0.02)</f>
        <v>98.144213445836201</v>
      </c>
      <c r="AA215" s="52">
        <f>('TE BE'!$AB$6+'TE BF'!$AB$6+'TE CVA'!$AB$6)*1*(1-0.02)</f>
        <v>181.71240751544846</v>
      </c>
      <c r="AB215" s="4">
        <f>$K$215*$V$215</f>
        <v>0</v>
      </c>
      <c r="AC215" s="4">
        <f>$M$215*$W$215</f>
        <v>878.88122880000003</v>
      </c>
      <c r="AD215" s="4">
        <f>$O$215*$X$215</f>
        <v>4136.7018624000002</v>
      </c>
      <c r="AE215" s="4">
        <f>$K$215*$Y$215</f>
        <v>0</v>
      </c>
      <c r="AF215" s="4">
        <f ca="1">$M$215*$Z$215</f>
        <v>1578.5515290628293</v>
      </c>
      <c r="AG215" s="4">
        <f>$O$215*$AA$215</f>
        <v>2922.6623624784729</v>
      </c>
    </row>
    <row r="216" spans="1:33" ht="11.25" customHeight="1" x14ac:dyDescent="0.25">
      <c r="A216" s="3" t="s">
        <v>21</v>
      </c>
      <c r="B216" s="3" t="s">
        <v>35</v>
      </c>
      <c r="C216" s="3" t="s">
        <v>36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38</v>
      </c>
      <c r="I216" s="6">
        <v>44531</v>
      </c>
      <c r="J216" s="4">
        <v>0</v>
      </c>
      <c r="K216" s="52">
        <v>0</v>
      </c>
      <c r="L216" s="4">
        <v>15.750999999999999</v>
      </c>
      <c r="M216" s="52">
        <v>15.750999999999999</v>
      </c>
      <c r="N216" s="4">
        <v>15.750999999999999</v>
      </c>
      <c r="O216" s="52">
        <v>15.750999999999999</v>
      </c>
      <c r="P216" s="4">
        <v>0</v>
      </c>
      <c r="Q216" s="3" t="s">
        <v>26</v>
      </c>
      <c r="R216" s="3">
        <v>0</v>
      </c>
      <c r="S216" s="4">
        <v>0</v>
      </c>
      <c r="T216" s="4">
        <v>15</v>
      </c>
      <c r="U216" s="4">
        <v>67</v>
      </c>
      <c r="V216" s="52">
        <f>IF(ISERROR(VLOOKUP($S$216,'TAR FIN'!$A$1:$O$85,15,0)),0,VLOOKUP($S$216,'TAR FIN'!$A$1:$O$85,15,0))</f>
        <v>0</v>
      </c>
      <c r="W216" s="52">
        <f>IF(ISERROR(VLOOKUP($T$216,'TAR FIN'!$A$1:$O$85,15,0)),0,VLOOKUP($T$216,'TAR FIN'!$A$1:$O$85,15,0))*(1-0.04)</f>
        <v>54.6432</v>
      </c>
      <c r="X216" s="52">
        <f>IF(ISERROR(VLOOKUP($U$216,'TAR FIN'!$A$1:$O$85,15,0)),0,VLOOKUP($U$216,'TAR FIN'!$A$1:$O$85,15,0))*(1-0.04)</f>
        <v>257.1936</v>
      </c>
      <c r="Y216" s="52"/>
      <c r="Z216" s="52">
        <f ca="1">('TUSD BE'!$AM$12+'TUSD BF'!$AM$12+'TUSD CVA'!$AM$12)*1*(1-0.02)</f>
        <v>98.144213445836201</v>
      </c>
      <c r="AA216" s="52">
        <f>('TE BE'!$AB$6+'TE BF'!$AB$6+'TE CVA'!$AB$6)*1*(1-0.02)</f>
        <v>181.71240751544846</v>
      </c>
      <c r="AB216" s="4">
        <f>$K$216*$V$216</f>
        <v>0</v>
      </c>
      <c r="AC216" s="4">
        <f>$M$216*$W$216</f>
        <v>860.6850432</v>
      </c>
      <c r="AD216" s="4">
        <f>$O$216*$X$216</f>
        <v>4051.0563935999999</v>
      </c>
      <c r="AE216" s="4">
        <f>$K$216*$Y$216</f>
        <v>0</v>
      </c>
      <c r="AF216" s="4">
        <f ca="1">$M$216*$Z$216</f>
        <v>1545.869505985366</v>
      </c>
      <c r="AG216" s="4">
        <f>$O$216*$AA$216</f>
        <v>2862.1521307758285</v>
      </c>
    </row>
    <row r="217" spans="1:33" ht="11.25" customHeight="1" x14ac:dyDescent="0.25">
      <c r="A217" s="3" t="s">
        <v>21</v>
      </c>
      <c r="B217" s="3" t="s">
        <v>35</v>
      </c>
      <c r="C217" s="3" t="s">
        <v>36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38</v>
      </c>
      <c r="I217" s="6">
        <v>44562</v>
      </c>
      <c r="J217" s="4">
        <v>0</v>
      </c>
      <c r="K217" s="52">
        <v>0</v>
      </c>
      <c r="L217" s="4">
        <v>14.541</v>
      </c>
      <c r="M217" s="52">
        <v>14.541</v>
      </c>
      <c r="N217" s="4">
        <v>14.541</v>
      </c>
      <c r="O217" s="52">
        <v>14.541</v>
      </c>
      <c r="P217" s="4">
        <v>0</v>
      </c>
      <c r="Q217" s="3" t="s">
        <v>26</v>
      </c>
      <c r="R217" s="3">
        <v>0</v>
      </c>
      <c r="S217" s="4">
        <v>0</v>
      </c>
      <c r="T217" s="4">
        <v>15</v>
      </c>
      <c r="U217" s="4">
        <v>67</v>
      </c>
      <c r="V217" s="52">
        <f>IF(ISERROR(VLOOKUP($S$217,'TAR FIN'!$A$1:$O$85,15,0)),0,VLOOKUP($S$217,'TAR FIN'!$A$1:$O$85,15,0))</f>
        <v>0</v>
      </c>
      <c r="W217" s="52">
        <f>IF(ISERROR(VLOOKUP($T$217,'TAR FIN'!$A$1:$O$85,15,0)),0,VLOOKUP($T$217,'TAR FIN'!$A$1:$O$85,15,0))*(1-0.04)</f>
        <v>54.6432</v>
      </c>
      <c r="X217" s="52">
        <f>IF(ISERROR(VLOOKUP($U$217,'TAR FIN'!$A$1:$O$85,15,0)),0,VLOOKUP($U$217,'TAR FIN'!$A$1:$O$85,15,0))*(1-0.04)</f>
        <v>257.1936</v>
      </c>
      <c r="Y217" s="52"/>
      <c r="Z217" s="52">
        <f ca="1">('TUSD BE'!$AM$12+'TUSD BF'!$AM$12+'TUSD CVA'!$AM$12)*1*(1-0.02)</f>
        <v>98.144213445836201</v>
      </c>
      <c r="AA217" s="52">
        <f>('TE BE'!$AB$6+'TE BF'!$AB$6+'TE CVA'!$AB$6)*1*(1-0.02)</f>
        <v>181.71240751544846</v>
      </c>
      <c r="AB217" s="4">
        <f>$K$217*$V$217</f>
        <v>0</v>
      </c>
      <c r="AC217" s="4">
        <f>$M$217*$W$217</f>
        <v>794.56677120000006</v>
      </c>
      <c r="AD217" s="4">
        <f>$O$217*$X$217</f>
        <v>3739.8521376000003</v>
      </c>
      <c r="AE217" s="4">
        <f>$K$217*$Y$217</f>
        <v>0</v>
      </c>
      <c r="AF217" s="4">
        <f ca="1">$M$217*$Z$217</f>
        <v>1427.1150077159043</v>
      </c>
      <c r="AG217" s="4">
        <f>$O$217*$AA$217</f>
        <v>2642.2801176821363</v>
      </c>
    </row>
    <row r="218" spans="1:33" ht="11.25" customHeight="1" x14ac:dyDescent="0.25">
      <c r="A218" s="3" t="s">
        <v>21</v>
      </c>
      <c r="B218" s="3" t="s">
        <v>35</v>
      </c>
      <c r="C218" s="3" t="s">
        <v>36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38</v>
      </c>
      <c r="I218" s="6">
        <v>44593</v>
      </c>
      <c r="J218" s="4">
        <v>0</v>
      </c>
      <c r="K218" s="52">
        <v>0</v>
      </c>
      <c r="L218" s="4">
        <v>14.173</v>
      </c>
      <c r="M218" s="52">
        <v>14.173</v>
      </c>
      <c r="N218" s="4">
        <v>14.173</v>
      </c>
      <c r="O218" s="52">
        <v>14.173</v>
      </c>
      <c r="P218" s="4">
        <v>0</v>
      </c>
      <c r="Q218" s="3" t="s">
        <v>26</v>
      </c>
      <c r="R218" s="3">
        <v>0</v>
      </c>
      <c r="S218" s="4">
        <v>0</v>
      </c>
      <c r="T218" s="4">
        <v>15</v>
      </c>
      <c r="U218" s="4">
        <v>67</v>
      </c>
      <c r="V218" s="52">
        <f>IF(ISERROR(VLOOKUP($S$218,'TAR FIN'!$A$1:$O$85,15,0)),0,VLOOKUP($S$218,'TAR FIN'!$A$1:$O$85,15,0))</f>
        <v>0</v>
      </c>
      <c r="W218" s="52">
        <f>IF(ISERROR(VLOOKUP($T$218,'TAR FIN'!$A$1:$O$85,15,0)),0,VLOOKUP($T$218,'TAR FIN'!$A$1:$O$85,15,0))*(1-0.04)</f>
        <v>54.6432</v>
      </c>
      <c r="X218" s="52">
        <f>IF(ISERROR(VLOOKUP($U$218,'TAR FIN'!$A$1:$O$85,15,0)),0,VLOOKUP($U$218,'TAR FIN'!$A$1:$O$85,15,0))*(1-0.04)</f>
        <v>257.1936</v>
      </c>
      <c r="Y218" s="52"/>
      <c r="Z218" s="52">
        <f ca="1">('TUSD BE'!$AM$12+'TUSD BF'!$AM$12+'TUSD CVA'!$AM$12)*1*(1-0.02)</f>
        <v>98.144213445836201</v>
      </c>
      <c r="AA218" s="52">
        <f>('TE BE'!$AB$6+'TE BF'!$AB$6+'TE CVA'!$AB$6)*1*(1-0.02)</f>
        <v>181.71240751544846</v>
      </c>
      <c r="AB218" s="4">
        <f>$K$218*$V$218</f>
        <v>0</v>
      </c>
      <c r="AC218" s="4">
        <f>$M$218*$W$218</f>
        <v>774.45807360000003</v>
      </c>
      <c r="AD218" s="4">
        <f>$O$218*$X$218</f>
        <v>3645.2048927999999</v>
      </c>
      <c r="AE218" s="4">
        <f>$K$218*$Y$218</f>
        <v>0</v>
      </c>
      <c r="AF218" s="4">
        <f ca="1">$M$218*$Z$218</f>
        <v>1390.9979371678364</v>
      </c>
      <c r="AG218" s="4">
        <f>$O$218*$AA$218</f>
        <v>2575.4099517164509</v>
      </c>
    </row>
    <row r="219" spans="1:33" ht="11.25" customHeight="1" x14ac:dyDescent="0.25">
      <c r="A219" s="3" t="s">
        <v>21</v>
      </c>
      <c r="B219" s="3" t="s">
        <v>35</v>
      </c>
      <c r="C219" s="3" t="s">
        <v>36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38</v>
      </c>
      <c r="I219" s="6">
        <v>44621</v>
      </c>
      <c r="J219" s="4">
        <v>0</v>
      </c>
      <c r="K219" s="52">
        <v>0</v>
      </c>
      <c r="L219" s="4">
        <v>17.863</v>
      </c>
      <c r="M219" s="52">
        <v>17.863</v>
      </c>
      <c r="N219" s="4">
        <v>17.863</v>
      </c>
      <c r="O219" s="52">
        <v>17.863</v>
      </c>
      <c r="P219" s="4">
        <v>0</v>
      </c>
      <c r="Q219" s="3" t="s">
        <v>26</v>
      </c>
      <c r="R219" s="3">
        <v>0</v>
      </c>
      <c r="S219" s="4">
        <v>0</v>
      </c>
      <c r="T219" s="4">
        <v>15</v>
      </c>
      <c r="U219" s="4">
        <v>67</v>
      </c>
      <c r="V219" s="52">
        <f>IF(ISERROR(VLOOKUP($S$219,'TAR FIN'!$A$1:$O$85,15,0)),0,VLOOKUP($S$219,'TAR FIN'!$A$1:$O$85,15,0))</f>
        <v>0</v>
      </c>
      <c r="W219" s="52">
        <f>IF(ISERROR(VLOOKUP($T$219,'TAR FIN'!$A$1:$O$85,15,0)),0,VLOOKUP($T$219,'TAR FIN'!$A$1:$O$85,15,0))*(1-0.04)</f>
        <v>54.6432</v>
      </c>
      <c r="X219" s="52">
        <f>IF(ISERROR(VLOOKUP($U$219,'TAR FIN'!$A$1:$O$85,15,0)),0,VLOOKUP($U$219,'TAR FIN'!$A$1:$O$85,15,0))*(1-0.04)</f>
        <v>257.1936</v>
      </c>
      <c r="Y219" s="52"/>
      <c r="Z219" s="52">
        <f ca="1">('TUSD BE'!$AM$12+'TUSD BF'!$AM$12+'TUSD CVA'!$AM$12)*1*(1-0.02)</f>
        <v>98.144213445836201</v>
      </c>
      <c r="AA219" s="52">
        <f>('TE BE'!$AB$6+'TE BF'!$AB$6+'TE CVA'!$AB$6)*1*(1-0.02)</f>
        <v>181.71240751544846</v>
      </c>
      <c r="AB219" s="4">
        <f>$K$219*$V$219</f>
        <v>0</v>
      </c>
      <c r="AC219" s="4">
        <f>$M$219*$W$219</f>
        <v>976.09148159999995</v>
      </c>
      <c r="AD219" s="4">
        <f>$O$219*$X$219</f>
        <v>4594.2492768000002</v>
      </c>
      <c r="AE219" s="4">
        <f>$K$219*$Y$219</f>
        <v>0</v>
      </c>
      <c r="AF219" s="4">
        <f ca="1">$M$219*$Z$219</f>
        <v>1753.150084782972</v>
      </c>
      <c r="AG219" s="4">
        <f>$O$219*$AA$219</f>
        <v>3245.9287354484559</v>
      </c>
    </row>
    <row r="220" spans="1:33" ht="11.25" customHeight="1" x14ac:dyDescent="0.25">
      <c r="A220" s="3" t="s">
        <v>21</v>
      </c>
      <c r="B220" s="3" t="s">
        <v>35</v>
      </c>
      <c r="C220" s="3" t="s">
        <v>36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38</v>
      </c>
      <c r="I220" s="6">
        <v>44652</v>
      </c>
      <c r="J220" s="4">
        <v>0</v>
      </c>
      <c r="K220" s="52">
        <v>0</v>
      </c>
      <c r="L220" s="4">
        <v>14.571</v>
      </c>
      <c r="M220" s="52">
        <v>14.571</v>
      </c>
      <c r="N220" s="4">
        <v>14.571</v>
      </c>
      <c r="O220" s="52">
        <v>14.571</v>
      </c>
      <c r="P220" s="4">
        <v>0</v>
      </c>
      <c r="Q220" s="3" t="s">
        <v>26</v>
      </c>
      <c r="R220" s="3">
        <v>0</v>
      </c>
      <c r="S220" s="4">
        <v>0</v>
      </c>
      <c r="T220" s="4">
        <v>15</v>
      </c>
      <c r="U220" s="4">
        <v>67</v>
      </c>
      <c r="V220" s="52">
        <f>IF(ISERROR(VLOOKUP($S$220,'TAR FIN'!$A$1:$O$85,15,0)),0,VLOOKUP($S$220,'TAR FIN'!$A$1:$O$85,15,0))</f>
        <v>0</v>
      </c>
      <c r="W220" s="52">
        <f>IF(ISERROR(VLOOKUP($T$220,'TAR FIN'!$A$1:$O$85,15,0)),0,VLOOKUP($T$220,'TAR FIN'!$A$1:$O$85,15,0))*(1-0.04)</f>
        <v>54.6432</v>
      </c>
      <c r="X220" s="52">
        <f>IF(ISERROR(VLOOKUP($U$220,'TAR FIN'!$A$1:$O$85,15,0)),0,VLOOKUP($U$220,'TAR FIN'!$A$1:$O$85,15,0))*(1-0.04)</f>
        <v>257.1936</v>
      </c>
      <c r="Y220" s="52"/>
      <c r="Z220" s="52">
        <f ca="1">('TUSD BE'!$AM$12+'TUSD BF'!$AM$12+'TUSD CVA'!$AM$12)*1*(1-0.02)</f>
        <v>98.144213445836201</v>
      </c>
      <c r="AA220" s="52">
        <f>('TE BE'!$AB$6+'TE BF'!$AB$6+'TE CVA'!$AB$6)*1*(1-0.02)</f>
        <v>181.71240751544846</v>
      </c>
      <c r="AB220" s="4">
        <f>$K$220*$V$220</f>
        <v>0</v>
      </c>
      <c r="AC220" s="4">
        <f>$M$220*$W$220</f>
        <v>796.20606720000001</v>
      </c>
      <c r="AD220" s="4">
        <f>$O$220*$X$220</f>
        <v>3747.5679455999998</v>
      </c>
      <c r="AE220" s="4">
        <f>$K$220*$Y$220</f>
        <v>0</v>
      </c>
      <c r="AF220" s="4">
        <f ca="1">$M$220*$Z$220</f>
        <v>1430.0593341192794</v>
      </c>
      <c r="AG220" s="4">
        <f>$O$220*$AA$220</f>
        <v>2647.7314899075996</v>
      </c>
    </row>
    <row r="221" spans="1:33" ht="11.25" customHeight="1" x14ac:dyDescent="0.25">
      <c r="A221" s="3" t="s">
        <v>21</v>
      </c>
      <c r="B221" s="3" t="s">
        <v>35</v>
      </c>
      <c r="C221" s="3" t="s">
        <v>36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38</v>
      </c>
      <c r="I221" s="6">
        <v>44682</v>
      </c>
      <c r="J221" s="4">
        <v>0</v>
      </c>
      <c r="K221" s="52">
        <v>0</v>
      </c>
      <c r="L221" s="4">
        <v>71.816999999999993</v>
      </c>
      <c r="M221" s="52">
        <v>71.816999999999993</v>
      </c>
      <c r="N221" s="4">
        <v>71.816999999999993</v>
      </c>
      <c r="O221" s="52">
        <v>71.816999999999993</v>
      </c>
      <c r="P221" s="4">
        <v>0</v>
      </c>
      <c r="Q221" s="3" t="s">
        <v>26</v>
      </c>
      <c r="R221" s="3">
        <v>0</v>
      </c>
      <c r="S221" s="4">
        <v>0</v>
      </c>
      <c r="T221" s="4">
        <v>15</v>
      </c>
      <c r="U221" s="4">
        <v>67</v>
      </c>
      <c r="V221" s="52">
        <f>IF(ISERROR(VLOOKUP($S$221,'TAR FIN'!$A$1:$O$85,15,0)),0,VLOOKUP($S$221,'TAR FIN'!$A$1:$O$85,15,0))</f>
        <v>0</v>
      </c>
      <c r="W221" s="52">
        <f>IF(ISERROR(VLOOKUP($T$221,'TAR FIN'!$A$1:$O$85,15,0)),0,VLOOKUP($T$221,'TAR FIN'!$A$1:$O$85,15,0))*(1-0.04)</f>
        <v>54.6432</v>
      </c>
      <c r="X221" s="52">
        <f>IF(ISERROR(VLOOKUP($U$221,'TAR FIN'!$A$1:$O$85,15,0)),0,VLOOKUP($U$221,'TAR FIN'!$A$1:$O$85,15,0))*(1-0.04)</f>
        <v>257.1936</v>
      </c>
      <c r="Y221" s="52"/>
      <c r="Z221" s="52">
        <f ca="1">('TUSD BE'!$AM$12+'TUSD BF'!$AM$12+'TUSD CVA'!$AM$12)*1*(1-0.02)</f>
        <v>98.144213445836201</v>
      </c>
      <c r="AA221" s="52">
        <f>('TE BE'!$AB$6+'TE BF'!$AB$6+'TE CVA'!$AB$6)*1*(1-0.02)</f>
        <v>181.71240751544846</v>
      </c>
      <c r="AB221" s="4">
        <f>$K$221*$V$221</f>
        <v>0</v>
      </c>
      <c r="AC221" s="4">
        <f>$M$221*$W$221</f>
        <v>3924.3106943999996</v>
      </c>
      <c r="AD221" s="4">
        <f>$O$221*$X$221</f>
        <v>18470.8727712</v>
      </c>
      <c r="AE221" s="4">
        <f>$K$221*$Y$221</f>
        <v>0</v>
      </c>
      <c r="AF221" s="4">
        <f ca="1">$M$221*$Z$221</f>
        <v>7048.4229770396178</v>
      </c>
      <c r="AG221" s="4">
        <f>$O$221*$AA$221</f>
        <v>13050.03997053696</v>
      </c>
    </row>
    <row r="222" spans="1:33" ht="11.25" customHeight="1" x14ac:dyDescent="0.25">
      <c r="A222" s="3" t="s">
        <v>21</v>
      </c>
      <c r="B222" s="3" t="s">
        <v>35</v>
      </c>
      <c r="C222" s="3" t="s">
        <v>36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38</v>
      </c>
      <c r="I222" s="6">
        <v>44713</v>
      </c>
      <c r="J222" s="4">
        <v>0</v>
      </c>
      <c r="K222" s="52">
        <v>0</v>
      </c>
      <c r="L222" s="4">
        <v>86.54</v>
      </c>
      <c r="M222" s="52">
        <v>86.54</v>
      </c>
      <c r="N222" s="4">
        <v>86.54</v>
      </c>
      <c r="O222" s="52">
        <v>86.54</v>
      </c>
      <c r="P222" s="4">
        <v>0</v>
      </c>
      <c r="Q222" s="3" t="s">
        <v>26</v>
      </c>
      <c r="R222" s="3">
        <v>0</v>
      </c>
      <c r="S222" s="4">
        <v>0</v>
      </c>
      <c r="T222" s="4">
        <v>15</v>
      </c>
      <c r="U222" s="4">
        <v>67</v>
      </c>
      <c r="V222" s="52">
        <f>IF(ISERROR(VLOOKUP($S$222,'TAR FIN'!$A$1:$O$85,15,0)),0,VLOOKUP($S$222,'TAR FIN'!$A$1:$O$85,15,0))</f>
        <v>0</v>
      </c>
      <c r="W222" s="52">
        <f>IF(ISERROR(VLOOKUP($T$222,'TAR FIN'!$A$1:$O$85,15,0)),0,VLOOKUP($T$222,'TAR FIN'!$A$1:$O$85,15,0))*(1-0.04)</f>
        <v>54.6432</v>
      </c>
      <c r="X222" s="52">
        <f>IF(ISERROR(VLOOKUP($U$222,'TAR FIN'!$A$1:$O$85,15,0)),0,VLOOKUP($U$222,'TAR FIN'!$A$1:$O$85,15,0))*(1-0.04)</f>
        <v>257.1936</v>
      </c>
      <c r="Y222" s="52"/>
      <c r="Z222" s="52">
        <f ca="1">('TUSD BE'!$AM$12+'TUSD BF'!$AM$12+'TUSD CVA'!$AM$12)*1*(1-0.02)</f>
        <v>98.144213445836201</v>
      </c>
      <c r="AA222" s="52">
        <f>('TE BE'!$AB$6+'TE BF'!$AB$6+'TE CVA'!$AB$6)*1*(1-0.02)</f>
        <v>181.71240751544846</v>
      </c>
      <c r="AB222" s="4">
        <f>$K$222*$V$222</f>
        <v>0</v>
      </c>
      <c r="AC222" s="4">
        <f>$M$222*$W$222</f>
        <v>4728.8225280000006</v>
      </c>
      <c r="AD222" s="4">
        <f>$O$222*$X$222</f>
        <v>22257.534144000001</v>
      </c>
      <c r="AE222" s="4">
        <f>$K$222*$Y$222</f>
        <v>0</v>
      </c>
      <c r="AF222" s="4">
        <f ca="1">$M$222*$Z$222</f>
        <v>8493.4002316026654</v>
      </c>
      <c r="AG222" s="4">
        <f>$O$222*$AA$222</f>
        <v>15725.391746386911</v>
      </c>
    </row>
    <row r="223" spans="1:33" ht="11.25" customHeight="1" x14ac:dyDescent="0.25">
      <c r="A223" s="3" t="s">
        <v>21</v>
      </c>
      <c r="B223" s="3" t="s">
        <v>35</v>
      </c>
      <c r="C223" s="3" t="s">
        <v>36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38</v>
      </c>
      <c r="I223" s="6">
        <v>44743</v>
      </c>
      <c r="J223" s="4">
        <v>0</v>
      </c>
      <c r="K223" s="52">
        <v>0</v>
      </c>
      <c r="L223" s="4">
        <v>71.212999999999994</v>
      </c>
      <c r="M223" s="52">
        <v>71.212999999999994</v>
      </c>
      <c r="N223" s="4">
        <v>71.212999999999994</v>
      </c>
      <c r="O223" s="52">
        <v>71.212999999999994</v>
      </c>
      <c r="P223" s="4">
        <v>0</v>
      </c>
      <c r="Q223" s="3" t="s">
        <v>26</v>
      </c>
      <c r="R223" s="3">
        <v>0</v>
      </c>
      <c r="S223" s="4">
        <v>0</v>
      </c>
      <c r="T223" s="4">
        <v>15</v>
      </c>
      <c r="U223" s="4">
        <v>67</v>
      </c>
      <c r="V223" s="52">
        <f>IF(ISERROR(VLOOKUP($S$223,'TAR FIN'!$A$1:$O$85,15,0)),0,VLOOKUP($S$223,'TAR FIN'!$A$1:$O$85,15,0))</f>
        <v>0</v>
      </c>
      <c r="W223" s="52">
        <f>IF(ISERROR(VLOOKUP($T$223,'TAR FIN'!$A$1:$O$85,15,0)),0,VLOOKUP($T$223,'TAR FIN'!$A$1:$O$85,15,0))*(1-0.04)</f>
        <v>54.6432</v>
      </c>
      <c r="X223" s="52">
        <f>IF(ISERROR(VLOOKUP($U$223,'TAR FIN'!$A$1:$O$85,15,0)),0,VLOOKUP($U$223,'TAR FIN'!$A$1:$O$85,15,0))*(1-0.04)</f>
        <v>257.1936</v>
      </c>
      <c r="Y223" s="52"/>
      <c r="Z223" s="52">
        <f ca="1">('TUSD BE'!$AM$12+'TUSD BF'!$AM$12+'TUSD CVA'!$AM$12)*1*(1-0.02)</f>
        <v>98.144213445836201</v>
      </c>
      <c r="AA223" s="52">
        <f>('TE BE'!$AB$6+'TE BF'!$AB$6+'TE CVA'!$AB$6)*1*(1-0.02)</f>
        <v>181.71240751544846</v>
      </c>
      <c r="AB223" s="4">
        <f>$K$223*$V$223</f>
        <v>0</v>
      </c>
      <c r="AC223" s="4">
        <f>$M$223*$W$223</f>
        <v>3891.3062015999999</v>
      </c>
      <c r="AD223" s="4">
        <f>$O$223*$X$223</f>
        <v>18315.5278368</v>
      </c>
      <c r="AE223" s="4">
        <f>$K$223*$Y$223</f>
        <v>0</v>
      </c>
      <c r="AF223" s="4">
        <f ca="1">$M$223*$Z$223</f>
        <v>6989.1438721183331</v>
      </c>
      <c r="AG223" s="4">
        <f>$O$223*$AA$223</f>
        <v>12940.285676397631</v>
      </c>
    </row>
    <row r="224" spans="1:33" ht="11.25" customHeight="1" x14ac:dyDescent="0.25">
      <c r="A224" s="3" t="s">
        <v>21</v>
      </c>
      <c r="B224" s="3" t="s">
        <v>35</v>
      </c>
      <c r="C224" s="3" t="s">
        <v>36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38</v>
      </c>
      <c r="I224" s="6">
        <v>44774</v>
      </c>
      <c r="J224" s="4">
        <v>0</v>
      </c>
      <c r="K224" s="52">
        <v>0</v>
      </c>
      <c r="L224" s="4">
        <v>71.887</v>
      </c>
      <c r="M224" s="52">
        <v>71.887</v>
      </c>
      <c r="N224" s="4">
        <v>71.887</v>
      </c>
      <c r="O224" s="52">
        <v>71.887</v>
      </c>
      <c r="P224" s="4">
        <v>0</v>
      </c>
      <c r="Q224" s="3" t="s">
        <v>26</v>
      </c>
      <c r="R224" s="3">
        <v>0</v>
      </c>
      <c r="S224" s="4">
        <v>0</v>
      </c>
      <c r="T224" s="4">
        <v>15</v>
      </c>
      <c r="U224" s="4">
        <v>67</v>
      </c>
      <c r="V224" s="52">
        <f>IF(ISERROR(VLOOKUP($S$224,'TAR FIN'!$A$1:$O$85,15,0)),0,VLOOKUP($S$224,'TAR FIN'!$A$1:$O$85,15,0))</f>
        <v>0</v>
      </c>
      <c r="W224" s="52">
        <f>IF(ISERROR(VLOOKUP($T$224,'TAR FIN'!$A$1:$O$85,15,0)),0,VLOOKUP($T$224,'TAR FIN'!$A$1:$O$85,15,0))*(1-0.04)</f>
        <v>54.6432</v>
      </c>
      <c r="X224" s="52">
        <f>IF(ISERROR(VLOOKUP($U$224,'TAR FIN'!$A$1:$O$85,15,0)),0,VLOOKUP($U$224,'TAR FIN'!$A$1:$O$85,15,0))*(1-0.04)</f>
        <v>257.1936</v>
      </c>
      <c r="Y224" s="52"/>
      <c r="Z224" s="52">
        <f ca="1">('TUSD BE'!$AM$12+'TUSD BF'!$AM$12+'TUSD CVA'!$AM$12)*1*(1-0.02)</f>
        <v>98.144213445836201</v>
      </c>
      <c r="AA224" s="52">
        <f>('TE BE'!$AB$6+'TE BF'!$AB$6+'TE CVA'!$AB$6)*1*(1-0.02)</f>
        <v>181.71240751544846</v>
      </c>
      <c r="AB224" s="4">
        <f>$K$224*$V$224</f>
        <v>0</v>
      </c>
      <c r="AC224" s="4">
        <f>$M$224*$W$224</f>
        <v>3928.1357183999999</v>
      </c>
      <c r="AD224" s="4">
        <f>$O$224*$X$224</f>
        <v>18488.876323200002</v>
      </c>
      <c r="AE224" s="4">
        <f>$K$224*$Y$224</f>
        <v>0</v>
      </c>
      <c r="AF224" s="4">
        <f ca="1">$M$224*$Z$224</f>
        <v>7055.2930719808273</v>
      </c>
      <c r="AG224" s="4">
        <f>$O$224*$AA$224</f>
        <v>13062.759839063043</v>
      </c>
    </row>
    <row r="225" spans="1:33" ht="11.25" customHeight="1" x14ac:dyDescent="0.25">
      <c r="A225" s="3" t="s">
        <v>21</v>
      </c>
      <c r="B225" s="3" t="s">
        <v>35</v>
      </c>
      <c r="C225" s="3" t="s">
        <v>36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44440</v>
      </c>
      <c r="J225" s="4">
        <v>283</v>
      </c>
      <c r="K225" s="52">
        <v>283</v>
      </c>
      <c r="L225" s="4">
        <v>0</v>
      </c>
      <c r="M225" s="52">
        <v>0</v>
      </c>
      <c r="N225" s="4">
        <v>0</v>
      </c>
      <c r="O225" s="52">
        <v>0</v>
      </c>
      <c r="P225" s="4">
        <v>3</v>
      </c>
      <c r="Q225" s="3" t="s">
        <v>26</v>
      </c>
      <c r="R225" s="3">
        <v>0</v>
      </c>
      <c r="S225" s="4">
        <v>22</v>
      </c>
      <c r="T225" s="4">
        <v>0</v>
      </c>
      <c r="U225" s="4">
        <v>0</v>
      </c>
      <c r="V225" s="52">
        <f>IF(ISERROR(VLOOKUP($S$225,'TAR FIN'!$A$1:$O$85,15,0)),0,VLOOKUP($S$225,'TAR FIN'!$A$1:$O$85,15,0))*(1-0.04)</f>
        <v>21.446400000000001</v>
      </c>
      <c r="W225" s="52">
        <f>IF(ISERROR(VLOOKUP($T$225,'TAR FIN'!$A$1:$O$85,15,0)),0,VLOOKUP($T$225,'TAR FIN'!$A$1:$O$85,15,0))</f>
        <v>0</v>
      </c>
      <c r="X225" s="52">
        <f>IF(ISERROR(VLOOKUP($U$225,'TAR FIN'!$A$1:$O$85,15,0)),0,VLOOKUP($U$225,'TAR FIN'!$A$1:$O$85,15,0))</f>
        <v>0</v>
      </c>
      <c r="Y225" s="52">
        <f ca="1">('TUSD BE'!$AM$10+'TUSD BF'!$AM$10+'TUSD CVA'!$AM$10)*1*(1-0.02)</f>
        <v>27.47945129896609</v>
      </c>
      <c r="Z225" s="52"/>
      <c r="AA225" s="52"/>
      <c r="AB225" s="4">
        <f>$K$225*$V$225</f>
        <v>6069.3312000000005</v>
      </c>
      <c r="AC225" s="4">
        <f>$M$225*$W$225</f>
        <v>0</v>
      </c>
      <c r="AD225" s="4">
        <f>$O$225*$X$225</f>
        <v>0</v>
      </c>
      <c r="AE225" s="4">
        <f ca="1">$K$225*$Y$225</f>
        <v>7776.6847176074034</v>
      </c>
      <c r="AF225" s="4">
        <f>$M$225*$Z$225</f>
        <v>0</v>
      </c>
      <c r="AG225" s="4">
        <f>$O$225*$AA$225</f>
        <v>0</v>
      </c>
    </row>
    <row r="226" spans="1:33" ht="11.25" customHeight="1" x14ac:dyDescent="0.25">
      <c r="A226" s="3" t="s">
        <v>21</v>
      </c>
      <c r="B226" s="3" t="s">
        <v>35</v>
      </c>
      <c r="C226" s="3" t="s">
        <v>36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44470</v>
      </c>
      <c r="J226" s="4">
        <v>240</v>
      </c>
      <c r="K226" s="52">
        <v>240</v>
      </c>
      <c r="L226" s="4">
        <v>0</v>
      </c>
      <c r="M226" s="52">
        <v>0</v>
      </c>
      <c r="N226" s="4">
        <v>0</v>
      </c>
      <c r="O226" s="52">
        <v>0</v>
      </c>
      <c r="P226" s="4">
        <v>3</v>
      </c>
      <c r="Q226" s="3" t="s">
        <v>26</v>
      </c>
      <c r="R226" s="3">
        <v>0</v>
      </c>
      <c r="S226" s="4">
        <v>22</v>
      </c>
      <c r="T226" s="4">
        <v>0</v>
      </c>
      <c r="U226" s="4">
        <v>0</v>
      </c>
      <c r="V226" s="52">
        <f>IF(ISERROR(VLOOKUP($S$226,'TAR FIN'!$A$1:$O$85,15,0)),0,VLOOKUP($S$226,'TAR FIN'!$A$1:$O$85,15,0))*(1-0.04)</f>
        <v>21.446400000000001</v>
      </c>
      <c r="W226" s="52">
        <f>IF(ISERROR(VLOOKUP($T$226,'TAR FIN'!$A$1:$O$85,15,0)),0,VLOOKUP($T$226,'TAR FIN'!$A$1:$O$85,15,0))</f>
        <v>0</v>
      </c>
      <c r="X226" s="52">
        <f>IF(ISERROR(VLOOKUP($U$226,'TAR FIN'!$A$1:$O$85,15,0)),0,VLOOKUP($U$226,'TAR FIN'!$A$1:$O$85,15,0))</f>
        <v>0</v>
      </c>
      <c r="Y226" s="52">
        <f ca="1">('TUSD BE'!$AM$10+'TUSD BF'!$AM$10+'TUSD CVA'!$AM$10)*1*(1-0.02)</f>
        <v>27.47945129896609</v>
      </c>
      <c r="Z226" s="52"/>
      <c r="AA226" s="52"/>
      <c r="AB226" s="4">
        <f>$K$226*$V$226</f>
        <v>5147.1360000000004</v>
      </c>
      <c r="AC226" s="4">
        <f>$M$226*$W$226</f>
        <v>0</v>
      </c>
      <c r="AD226" s="4">
        <f>$O$226*$X$226</f>
        <v>0</v>
      </c>
      <c r="AE226" s="4">
        <f ca="1">$K$226*$Y$226</f>
        <v>6595.068311751862</v>
      </c>
      <c r="AF226" s="4">
        <f>$M$226*$Z$226</f>
        <v>0</v>
      </c>
      <c r="AG226" s="4">
        <f>$O$226*$AA$226</f>
        <v>0</v>
      </c>
    </row>
    <row r="227" spans="1:33" ht="11.25" customHeight="1" x14ac:dyDescent="0.25">
      <c r="A227" s="3" t="s">
        <v>21</v>
      </c>
      <c r="B227" s="3" t="s">
        <v>35</v>
      </c>
      <c r="C227" s="3" t="s">
        <v>36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44501</v>
      </c>
      <c r="J227" s="4">
        <v>748</v>
      </c>
      <c r="K227" s="52">
        <v>748</v>
      </c>
      <c r="L227" s="4">
        <v>0</v>
      </c>
      <c r="M227" s="52">
        <v>0</v>
      </c>
      <c r="N227" s="4">
        <v>0</v>
      </c>
      <c r="O227" s="52">
        <v>0</v>
      </c>
      <c r="P227" s="4">
        <v>3</v>
      </c>
      <c r="Q227" s="3" t="s">
        <v>26</v>
      </c>
      <c r="R227" s="3">
        <v>0</v>
      </c>
      <c r="S227" s="4">
        <v>22</v>
      </c>
      <c r="T227" s="4">
        <v>0</v>
      </c>
      <c r="U227" s="4">
        <v>0</v>
      </c>
      <c r="V227" s="52">
        <f>IF(ISERROR(VLOOKUP($S$227,'TAR FIN'!$A$1:$O$85,15,0)),0,VLOOKUP($S$227,'TAR FIN'!$A$1:$O$85,15,0))*(1-0.04)</f>
        <v>21.446400000000001</v>
      </c>
      <c r="W227" s="52">
        <f>IF(ISERROR(VLOOKUP($T$227,'TAR FIN'!$A$1:$O$85,15,0)),0,VLOOKUP($T$227,'TAR FIN'!$A$1:$O$85,15,0))</f>
        <v>0</v>
      </c>
      <c r="X227" s="52">
        <f>IF(ISERROR(VLOOKUP($U$227,'TAR FIN'!$A$1:$O$85,15,0)),0,VLOOKUP($U$227,'TAR FIN'!$A$1:$O$85,15,0))</f>
        <v>0</v>
      </c>
      <c r="Y227" s="52">
        <f ca="1">('TUSD BE'!$AM$10+'TUSD BF'!$AM$10+'TUSD CVA'!$AM$10)*1*(1-0.02)</f>
        <v>27.47945129896609</v>
      </c>
      <c r="Z227" s="52"/>
      <c r="AA227" s="52"/>
      <c r="AB227" s="4">
        <f>$K$227*$V$227</f>
        <v>16041.9072</v>
      </c>
      <c r="AC227" s="4">
        <f>$M$227*$W$227</f>
        <v>0</v>
      </c>
      <c r="AD227" s="4">
        <f>$O$227*$X$227</f>
        <v>0</v>
      </c>
      <c r="AE227" s="4">
        <f ca="1">$K$227*$Y$227</f>
        <v>20554.629571626636</v>
      </c>
      <c r="AF227" s="4">
        <f>$M$227*$Z$227</f>
        <v>0</v>
      </c>
      <c r="AG227" s="4">
        <f>$O$227*$AA$227</f>
        <v>0</v>
      </c>
    </row>
    <row r="228" spans="1:33" ht="11.25" customHeight="1" x14ac:dyDescent="0.25">
      <c r="A228" s="3" t="s">
        <v>21</v>
      </c>
      <c r="B228" s="3" t="s">
        <v>35</v>
      </c>
      <c r="C228" s="3" t="s">
        <v>36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44531</v>
      </c>
      <c r="J228" s="4">
        <v>176</v>
      </c>
      <c r="K228" s="52">
        <v>176</v>
      </c>
      <c r="L228" s="4">
        <v>0</v>
      </c>
      <c r="M228" s="52">
        <v>0</v>
      </c>
      <c r="N228" s="4">
        <v>0</v>
      </c>
      <c r="O228" s="52">
        <v>0</v>
      </c>
      <c r="P228" s="4">
        <v>3</v>
      </c>
      <c r="Q228" s="3" t="s">
        <v>26</v>
      </c>
      <c r="R228" s="3">
        <v>0</v>
      </c>
      <c r="S228" s="4">
        <v>22</v>
      </c>
      <c r="T228" s="4">
        <v>0</v>
      </c>
      <c r="U228" s="4">
        <v>0</v>
      </c>
      <c r="V228" s="52">
        <f>IF(ISERROR(VLOOKUP($S$228,'TAR FIN'!$A$1:$O$85,15,0)),0,VLOOKUP($S$228,'TAR FIN'!$A$1:$O$85,15,0))*(1-0.04)</f>
        <v>21.446400000000001</v>
      </c>
      <c r="W228" s="52">
        <f>IF(ISERROR(VLOOKUP($T$228,'TAR FIN'!$A$1:$O$85,15,0)),0,VLOOKUP($T$228,'TAR FIN'!$A$1:$O$85,15,0))</f>
        <v>0</v>
      </c>
      <c r="X228" s="52">
        <f>IF(ISERROR(VLOOKUP($U$228,'TAR FIN'!$A$1:$O$85,15,0)),0,VLOOKUP($U$228,'TAR FIN'!$A$1:$O$85,15,0))</f>
        <v>0</v>
      </c>
      <c r="Y228" s="52">
        <f ca="1">('TUSD BE'!$AM$10+'TUSD BF'!$AM$10+'TUSD CVA'!$AM$10)*1*(1-0.02)</f>
        <v>27.47945129896609</v>
      </c>
      <c r="Z228" s="52"/>
      <c r="AA228" s="52"/>
      <c r="AB228" s="4">
        <f>$K$228*$V$228</f>
        <v>3774.5664000000002</v>
      </c>
      <c r="AC228" s="4">
        <f>$M$228*$W$228</f>
        <v>0</v>
      </c>
      <c r="AD228" s="4">
        <f>$O$228*$X$228</f>
        <v>0</v>
      </c>
      <c r="AE228" s="4">
        <f ca="1">$K$228*$Y$228</f>
        <v>4836.3834286180318</v>
      </c>
      <c r="AF228" s="4">
        <f>$M$228*$Z$228</f>
        <v>0</v>
      </c>
      <c r="AG228" s="4">
        <f>$O$228*$AA$228</f>
        <v>0</v>
      </c>
    </row>
    <row r="229" spans="1:33" ht="11.25" customHeight="1" x14ac:dyDescent="0.25">
      <c r="A229" s="3" t="s">
        <v>21</v>
      </c>
      <c r="B229" s="3" t="s">
        <v>35</v>
      </c>
      <c r="C229" s="3" t="s">
        <v>36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44562</v>
      </c>
      <c r="J229" s="4">
        <v>147</v>
      </c>
      <c r="K229" s="52">
        <v>147</v>
      </c>
      <c r="L229" s="4">
        <v>0</v>
      </c>
      <c r="M229" s="52">
        <v>0</v>
      </c>
      <c r="N229" s="4">
        <v>0</v>
      </c>
      <c r="O229" s="52">
        <v>0</v>
      </c>
      <c r="P229" s="4">
        <v>3</v>
      </c>
      <c r="Q229" s="3" t="s">
        <v>26</v>
      </c>
      <c r="R229" s="3">
        <v>0</v>
      </c>
      <c r="S229" s="4">
        <v>22</v>
      </c>
      <c r="T229" s="4">
        <v>0</v>
      </c>
      <c r="U229" s="4">
        <v>0</v>
      </c>
      <c r="V229" s="52">
        <f>IF(ISERROR(VLOOKUP($S$229,'TAR FIN'!$A$1:$O$85,15,0)),0,VLOOKUP($S$229,'TAR FIN'!$A$1:$O$85,15,0))*(1-0.04)</f>
        <v>21.446400000000001</v>
      </c>
      <c r="W229" s="52">
        <f>IF(ISERROR(VLOOKUP($T$229,'TAR FIN'!$A$1:$O$85,15,0)),0,VLOOKUP($T$229,'TAR FIN'!$A$1:$O$85,15,0))</f>
        <v>0</v>
      </c>
      <c r="X229" s="52">
        <f>IF(ISERROR(VLOOKUP($U$229,'TAR FIN'!$A$1:$O$85,15,0)),0,VLOOKUP($U$229,'TAR FIN'!$A$1:$O$85,15,0))</f>
        <v>0</v>
      </c>
      <c r="Y229" s="52">
        <f ca="1">('TUSD BE'!$AM$10+'TUSD BF'!$AM$10+'TUSD CVA'!$AM$10)*1*(1-0.02)</f>
        <v>27.47945129896609</v>
      </c>
      <c r="Z229" s="52"/>
      <c r="AA229" s="52"/>
      <c r="AB229" s="4">
        <f>$K$229*$V$229</f>
        <v>3152.6208000000001</v>
      </c>
      <c r="AC229" s="4">
        <f>$M$229*$W$229</f>
        <v>0</v>
      </c>
      <c r="AD229" s="4">
        <f>$O$229*$X$229</f>
        <v>0</v>
      </c>
      <c r="AE229" s="4">
        <f ca="1">$K$229*$Y$229</f>
        <v>4039.4793409480153</v>
      </c>
      <c r="AF229" s="4">
        <f>$M$229*$Z$229</f>
        <v>0</v>
      </c>
      <c r="AG229" s="4">
        <f>$O$229*$AA$229</f>
        <v>0</v>
      </c>
    </row>
    <row r="230" spans="1:33" ht="11.25" customHeight="1" x14ac:dyDescent="0.25">
      <c r="A230" s="3" t="s">
        <v>21</v>
      </c>
      <c r="B230" s="3" t="s">
        <v>35</v>
      </c>
      <c r="C230" s="3" t="s">
        <v>36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44593</v>
      </c>
      <c r="J230" s="4">
        <v>158</v>
      </c>
      <c r="K230" s="52">
        <v>158</v>
      </c>
      <c r="L230" s="4">
        <v>0</v>
      </c>
      <c r="M230" s="52">
        <v>0</v>
      </c>
      <c r="N230" s="4">
        <v>0</v>
      </c>
      <c r="O230" s="52">
        <v>0</v>
      </c>
      <c r="P230" s="4">
        <v>3</v>
      </c>
      <c r="Q230" s="3" t="s">
        <v>26</v>
      </c>
      <c r="R230" s="3">
        <v>0</v>
      </c>
      <c r="S230" s="4">
        <v>22</v>
      </c>
      <c r="T230" s="4">
        <v>0</v>
      </c>
      <c r="U230" s="4">
        <v>0</v>
      </c>
      <c r="V230" s="52">
        <f>IF(ISERROR(VLOOKUP($S$230,'TAR FIN'!$A$1:$O$85,15,0)),0,VLOOKUP($S$230,'TAR FIN'!$A$1:$O$85,15,0))*(1-0.04)</f>
        <v>21.446400000000001</v>
      </c>
      <c r="W230" s="52">
        <f>IF(ISERROR(VLOOKUP($T$230,'TAR FIN'!$A$1:$O$85,15,0)),0,VLOOKUP($T$230,'TAR FIN'!$A$1:$O$85,15,0))</f>
        <v>0</v>
      </c>
      <c r="X230" s="52">
        <f>IF(ISERROR(VLOOKUP($U$230,'TAR FIN'!$A$1:$O$85,15,0)),0,VLOOKUP($U$230,'TAR FIN'!$A$1:$O$85,15,0))</f>
        <v>0</v>
      </c>
      <c r="Y230" s="52">
        <f ca="1">('TUSD BE'!$AM$10+'TUSD BF'!$AM$10+'TUSD CVA'!$AM$10)*1*(1-0.02)</f>
        <v>27.47945129896609</v>
      </c>
      <c r="Z230" s="52"/>
      <c r="AA230" s="52"/>
      <c r="AB230" s="4">
        <f>$K$230*$V$230</f>
        <v>3388.5311999999999</v>
      </c>
      <c r="AC230" s="4">
        <f>$M$230*$W$230</f>
        <v>0</v>
      </c>
      <c r="AD230" s="4">
        <f>$O$230*$X$230</f>
        <v>0</v>
      </c>
      <c r="AE230" s="4">
        <f ca="1">$K$230*$Y$230</f>
        <v>4341.7533052366425</v>
      </c>
      <c r="AF230" s="4">
        <f>$M$230*$Z$230</f>
        <v>0</v>
      </c>
      <c r="AG230" s="4">
        <f>$O$230*$AA$230</f>
        <v>0</v>
      </c>
    </row>
    <row r="231" spans="1:33" ht="11.25" customHeight="1" x14ac:dyDescent="0.25">
      <c r="A231" s="3" t="s">
        <v>21</v>
      </c>
      <c r="B231" s="3" t="s">
        <v>35</v>
      </c>
      <c r="C231" s="3" t="s">
        <v>36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44621</v>
      </c>
      <c r="J231" s="4">
        <v>158</v>
      </c>
      <c r="K231" s="52">
        <v>158</v>
      </c>
      <c r="L231" s="4">
        <v>0</v>
      </c>
      <c r="M231" s="52">
        <v>0</v>
      </c>
      <c r="N231" s="4">
        <v>0</v>
      </c>
      <c r="O231" s="52">
        <v>0</v>
      </c>
      <c r="P231" s="4">
        <v>3</v>
      </c>
      <c r="Q231" s="3" t="s">
        <v>26</v>
      </c>
      <c r="R231" s="3">
        <v>0</v>
      </c>
      <c r="S231" s="4">
        <v>22</v>
      </c>
      <c r="T231" s="4">
        <v>0</v>
      </c>
      <c r="U231" s="4">
        <v>0</v>
      </c>
      <c r="V231" s="52">
        <f>IF(ISERROR(VLOOKUP($S$231,'TAR FIN'!$A$1:$O$85,15,0)),0,VLOOKUP($S$231,'TAR FIN'!$A$1:$O$85,15,0))*(1-0.04)</f>
        <v>21.446400000000001</v>
      </c>
      <c r="W231" s="52">
        <f>IF(ISERROR(VLOOKUP($T$231,'TAR FIN'!$A$1:$O$85,15,0)),0,VLOOKUP($T$231,'TAR FIN'!$A$1:$O$85,15,0))</f>
        <v>0</v>
      </c>
      <c r="X231" s="52">
        <f>IF(ISERROR(VLOOKUP($U$231,'TAR FIN'!$A$1:$O$85,15,0)),0,VLOOKUP($U$231,'TAR FIN'!$A$1:$O$85,15,0))</f>
        <v>0</v>
      </c>
      <c r="Y231" s="52">
        <f ca="1">('TUSD BE'!$AM$10+'TUSD BF'!$AM$10+'TUSD CVA'!$AM$10)*1*(1-0.02)</f>
        <v>27.47945129896609</v>
      </c>
      <c r="Z231" s="52"/>
      <c r="AA231" s="52"/>
      <c r="AB231" s="4">
        <f>$K$231*$V$231</f>
        <v>3388.5311999999999</v>
      </c>
      <c r="AC231" s="4">
        <f>$M$231*$W$231</f>
        <v>0</v>
      </c>
      <c r="AD231" s="4">
        <f>$O$231*$X$231</f>
        <v>0</v>
      </c>
      <c r="AE231" s="4">
        <f ca="1">$K$231*$Y$231</f>
        <v>4341.7533052366425</v>
      </c>
      <c r="AF231" s="4">
        <f>$M$231*$Z$231</f>
        <v>0</v>
      </c>
      <c r="AG231" s="4">
        <f>$O$231*$AA$231</f>
        <v>0</v>
      </c>
    </row>
    <row r="232" spans="1:33" ht="11.25" customHeight="1" x14ac:dyDescent="0.25">
      <c r="A232" s="3" t="s">
        <v>21</v>
      </c>
      <c r="B232" s="3" t="s">
        <v>35</v>
      </c>
      <c r="C232" s="3" t="s">
        <v>36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44652</v>
      </c>
      <c r="J232" s="4">
        <v>151</v>
      </c>
      <c r="K232" s="52">
        <v>151</v>
      </c>
      <c r="L232" s="4">
        <v>0</v>
      </c>
      <c r="M232" s="52">
        <v>0</v>
      </c>
      <c r="N232" s="4">
        <v>0</v>
      </c>
      <c r="O232" s="52">
        <v>0</v>
      </c>
      <c r="P232" s="4">
        <v>3</v>
      </c>
      <c r="Q232" s="3" t="s">
        <v>26</v>
      </c>
      <c r="R232" s="3">
        <v>0</v>
      </c>
      <c r="S232" s="4">
        <v>22</v>
      </c>
      <c r="T232" s="4">
        <v>0</v>
      </c>
      <c r="U232" s="4">
        <v>0</v>
      </c>
      <c r="V232" s="52">
        <f>IF(ISERROR(VLOOKUP($S$232,'TAR FIN'!$A$1:$O$85,15,0)),0,VLOOKUP($S$232,'TAR FIN'!$A$1:$O$85,15,0))*(1-0.04)</f>
        <v>21.446400000000001</v>
      </c>
      <c r="W232" s="52">
        <f>IF(ISERROR(VLOOKUP($T$232,'TAR FIN'!$A$1:$O$85,15,0)),0,VLOOKUP($T$232,'TAR FIN'!$A$1:$O$85,15,0))</f>
        <v>0</v>
      </c>
      <c r="X232" s="52">
        <f>IF(ISERROR(VLOOKUP($U$232,'TAR FIN'!$A$1:$O$85,15,0)),0,VLOOKUP($U$232,'TAR FIN'!$A$1:$O$85,15,0))</f>
        <v>0</v>
      </c>
      <c r="Y232" s="52">
        <f ca="1">('TUSD BE'!$AM$10+'TUSD BF'!$AM$10+'TUSD CVA'!$AM$10)*1*(1-0.02)</f>
        <v>27.47945129896609</v>
      </c>
      <c r="Z232" s="52"/>
      <c r="AA232" s="52"/>
      <c r="AB232" s="4">
        <f>$K$232*$V$232</f>
        <v>3238.4064000000003</v>
      </c>
      <c r="AC232" s="4">
        <f>$M$232*$W$232</f>
        <v>0</v>
      </c>
      <c r="AD232" s="4">
        <f>$O$232*$X$232</f>
        <v>0</v>
      </c>
      <c r="AE232" s="4">
        <f ca="1">$K$232*$Y$232</f>
        <v>4149.3971461438796</v>
      </c>
      <c r="AF232" s="4">
        <f>$M$232*$Z$232</f>
        <v>0</v>
      </c>
      <c r="AG232" s="4">
        <f>$O$232*$AA$232</f>
        <v>0</v>
      </c>
    </row>
    <row r="233" spans="1:33" ht="11.25" customHeight="1" x14ac:dyDescent="0.25">
      <c r="A233" s="3" t="s">
        <v>21</v>
      </c>
      <c r="B233" s="3" t="s">
        <v>35</v>
      </c>
      <c r="C233" s="3" t="s">
        <v>36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44682</v>
      </c>
      <c r="J233" s="4">
        <v>465</v>
      </c>
      <c r="K233" s="52">
        <v>465</v>
      </c>
      <c r="L233" s="4">
        <v>0</v>
      </c>
      <c r="M233" s="52">
        <v>0</v>
      </c>
      <c r="N233" s="4">
        <v>0</v>
      </c>
      <c r="O233" s="52">
        <v>0</v>
      </c>
      <c r="P233" s="4">
        <v>3</v>
      </c>
      <c r="Q233" s="3" t="s">
        <v>26</v>
      </c>
      <c r="R233" s="3">
        <v>0</v>
      </c>
      <c r="S233" s="4">
        <v>22</v>
      </c>
      <c r="T233" s="4">
        <v>0</v>
      </c>
      <c r="U233" s="4">
        <v>0</v>
      </c>
      <c r="V233" s="52">
        <f>IF(ISERROR(VLOOKUP($S$233,'TAR FIN'!$A$1:$O$85,15,0)),0,VLOOKUP($S$233,'TAR FIN'!$A$1:$O$85,15,0))*(1-0.04)</f>
        <v>21.446400000000001</v>
      </c>
      <c r="W233" s="52">
        <f>IF(ISERROR(VLOOKUP($T$233,'TAR FIN'!$A$1:$O$85,15,0)),0,VLOOKUP($T$233,'TAR FIN'!$A$1:$O$85,15,0))</f>
        <v>0</v>
      </c>
      <c r="X233" s="52">
        <f>IF(ISERROR(VLOOKUP($U$233,'TAR FIN'!$A$1:$O$85,15,0)),0,VLOOKUP($U$233,'TAR FIN'!$A$1:$O$85,15,0))</f>
        <v>0</v>
      </c>
      <c r="Y233" s="52">
        <f ca="1">('TUSD BE'!$AM$10+'TUSD BF'!$AM$10+'TUSD CVA'!$AM$10)*1*(1-0.02)</f>
        <v>27.47945129896609</v>
      </c>
      <c r="Z233" s="52"/>
      <c r="AA233" s="52"/>
      <c r="AB233" s="4">
        <f>$K$233*$V$233</f>
        <v>9972.5760000000009</v>
      </c>
      <c r="AC233" s="4">
        <f>$M$233*$W$233</f>
        <v>0</v>
      </c>
      <c r="AD233" s="4">
        <f>$O$233*$X$233</f>
        <v>0</v>
      </c>
      <c r="AE233" s="4">
        <f ca="1">$K$233*$Y$233</f>
        <v>12777.944854019232</v>
      </c>
      <c r="AF233" s="4">
        <f>$M$233*$Z$233</f>
        <v>0</v>
      </c>
      <c r="AG233" s="4">
        <f>$O$233*$AA$233</f>
        <v>0</v>
      </c>
    </row>
    <row r="234" spans="1:33" ht="11.25" customHeight="1" x14ac:dyDescent="0.25">
      <c r="A234" s="3" t="s">
        <v>21</v>
      </c>
      <c r="B234" s="3" t="s">
        <v>35</v>
      </c>
      <c r="C234" s="3" t="s">
        <v>36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44713</v>
      </c>
      <c r="J234" s="4">
        <v>260</v>
      </c>
      <c r="K234" s="52">
        <v>260</v>
      </c>
      <c r="L234" s="4">
        <v>0</v>
      </c>
      <c r="M234" s="52">
        <v>0</v>
      </c>
      <c r="N234" s="4">
        <v>0</v>
      </c>
      <c r="O234" s="52">
        <v>0</v>
      </c>
      <c r="P234" s="4">
        <v>3</v>
      </c>
      <c r="Q234" s="3" t="s">
        <v>26</v>
      </c>
      <c r="R234" s="3">
        <v>0</v>
      </c>
      <c r="S234" s="4">
        <v>22</v>
      </c>
      <c r="T234" s="4">
        <v>0</v>
      </c>
      <c r="U234" s="4">
        <v>0</v>
      </c>
      <c r="V234" s="52">
        <f>IF(ISERROR(VLOOKUP($S$234,'TAR FIN'!$A$1:$O$85,15,0)),0,VLOOKUP($S$234,'TAR FIN'!$A$1:$O$85,15,0))*(1-0.04)</f>
        <v>21.446400000000001</v>
      </c>
      <c r="W234" s="52">
        <f>IF(ISERROR(VLOOKUP($T$234,'TAR FIN'!$A$1:$O$85,15,0)),0,VLOOKUP($T$234,'TAR FIN'!$A$1:$O$85,15,0))</f>
        <v>0</v>
      </c>
      <c r="X234" s="52">
        <f>IF(ISERROR(VLOOKUP($U$234,'TAR FIN'!$A$1:$O$85,15,0)),0,VLOOKUP($U$234,'TAR FIN'!$A$1:$O$85,15,0))</f>
        <v>0</v>
      </c>
      <c r="Y234" s="52">
        <f ca="1">('TUSD BE'!$AM$10+'TUSD BF'!$AM$10+'TUSD CVA'!$AM$10)*1*(1-0.02)</f>
        <v>27.47945129896609</v>
      </c>
      <c r="Z234" s="52"/>
      <c r="AA234" s="52"/>
      <c r="AB234" s="4">
        <f>$K$234*$V$234</f>
        <v>5576.0640000000003</v>
      </c>
      <c r="AC234" s="4">
        <f>$M$234*$W$234</f>
        <v>0</v>
      </c>
      <c r="AD234" s="4">
        <f>$O$234*$X$234</f>
        <v>0</v>
      </c>
      <c r="AE234" s="4">
        <f ca="1">$K$234*$Y$234</f>
        <v>7144.6573377311834</v>
      </c>
      <c r="AF234" s="4">
        <f>$M$234*$Z$234</f>
        <v>0</v>
      </c>
      <c r="AG234" s="4">
        <f>$O$234*$AA$234</f>
        <v>0</v>
      </c>
    </row>
    <row r="235" spans="1:33" ht="11.25" customHeight="1" x14ac:dyDescent="0.25">
      <c r="A235" s="3" t="s">
        <v>21</v>
      </c>
      <c r="B235" s="3" t="s">
        <v>35</v>
      </c>
      <c r="C235" s="3" t="s">
        <v>36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44743</v>
      </c>
      <c r="J235" s="4">
        <v>237</v>
      </c>
      <c r="K235" s="52">
        <v>237</v>
      </c>
      <c r="L235" s="4">
        <v>0</v>
      </c>
      <c r="M235" s="52">
        <v>0</v>
      </c>
      <c r="N235" s="4">
        <v>0</v>
      </c>
      <c r="O235" s="52">
        <v>0</v>
      </c>
      <c r="P235" s="4">
        <v>3</v>
      </c>
      <c r="Q235" s="3" t="s">
        <v>26</v>
      </c>
      <c r="R235" s="3">
        <v>0</v>
      </c>
      <c r="S235" s="4">
        <v>22</v>
      </c>
      <c r="T235" s="4">
        <v>0</v>
      </c>
      <c r="U235" s="4">
        <v>0</v>
      </c>
      <c r="V235" s="52">
        <f>IF(ISERROR(VLOOKUP($S$235,'TAR FIN'!$A$1:$O$85,15,0)),0,VLOOKUP($S$235,'TAR FIN'!$A$1:$O$85,15,0))*(1-0.04)</f>
        <v>21.446400000000001</v>
      </c>
      <c r="W235" s="52">
        <f>IF(ISERROR(VLOOKUP($T$235,'TAR FIN'!$A$1:$O$85,15,0)),0,VLOOKUP($T$235,'TAR FIN'!$A$1:$O$85,15,0))</f>
        <v>0</v>
      </c>
      <c r="X235" s="52">
        <f>IF(ISERROR(VLOOKUP($U$235,'TAR FIN'!$A$1:$O$85,15,0)),0,VLOOKUP($U$235,'TAR FIN'!$A$1:$O$85,15,0))</f>
        <v>0</v>
      </c>
      <c r="Y235" s="52">
        <f ca="1">('TUSD BE'!$AM$10+'TUSD BF'!$AM$10+'TUSD CVA'!$AM$10)*1*(1-0.02)</f>
        <v>27.47945129896609</v>
      </c>
      <c r="Z235" s="52"/>
      <c r="AA235" s="52"/>
      <c r="AB235" s="4">
        <f>$K$235*$V$235</f>
        <v>5082.7968000000001</v>
      </c>
      <c r="AC235" s="4">
        <f>$M$235*$W$235</f>
        <v>0</v>
      </c>
      <c r="AD235" s="4">
        <f>$O$235*$X$235</f>
        <v>0</v>
      </c>
      <c r="AE235" s="4">
        <f ca="1">$K$235*$Y$235</f>
        <v>6512.6299578549633</v>
      </c>
      <c r="AF235" s="4">
        <f>$M$235*$Z$235</f>
        <v>0</v>
      </c>
      <c r="AG235" s="4">
        <f>$O$235*$AA$235</f>
        <v>0</v>
      </c>
    </row>
    <row r="236" spans="1:33" ht="11.25" customHeight="1" x14ac:dyDescent="0.25">
      <c r="A236" s="3" t="s">
        <v>21</v>
      </c>
      <c r="B236" s="3" t="s">
        <v>35</v>
      </c>
      <c r="C236" s="3" t="s">
        <v>36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44774</v>
      </c>
      <c r="J236" s="4">
        <v>228</v>
      </c>
      <c r="K236" s="52">
        <v>228</v>
      </c>
      <c r="L236" s="4">
        <v>0</v>
      </c>
      <c r="M236" s="52">
        <v>0</v>
      </c>
      <c r="N236" s="4">
        <v>0</v>
      </c>
      <c r="O236" s="52">
        <v>0</v>
      </c>
      <c r="P236" s="4">
        <v>3</v>
      </c>
      <c r="Q236" s="3" t="s">
        <v>26</v>
      </c>
      <c r="R236" s="3">
        <v>0</v>
      </c>
      <c r="S236" s="4">
        <v>22</v>
      </c>
      <c r="T236" s="4">
        <v>0</v>
      </c>
      <c r="U236" s="4">
        <v>0</v>
      </c>
      <c r="V236" s="52">
        <f>IF(ISERROR(VLOOKUP($S$236,'TAR FIN'!$A$1:$O$85,15,0)),0,VLOOKUP($S$236,'TAR FIN'!$A$1:$O$85,15,0))*(1-0.04)</f>
        <v>21.446400000000001</v>
      </c>
      <c r="W236" s="52">
        <f>IF(ISERROR(VLOOKUP($T$236,'TAR FIN'!$A$1:$O$85,15,0)),0,VLOOKUP($T$236,'TAR FIN'!$A$1:$O$85,15,0))</f>
        <v>0</v>
      </c>
      <c r="X236" s="52">
        <f>IF(ISERROR(VLOOKUP($U$236,'TAR FIN'!$A$1:$O$85,15,0)),0,VLOOKUP($U$236,'TAR FIN'!$A$1:$O$85,15,0))</f>
        <v>0</v>
      </c>
      <c r="Y236" s="52">
        <f ca="1">('TUSD BE'!$AM$10+'TUSD BF'!$AM$10+'TUSD CVA'!$AM$10)*1*(1-0.02)</f>
        <v>27.47945129896609</v>
      </c>
      <c r="Z236" s="52"/>
      <c r="AA236" s="52"/>
      <c r="AB236" s="4">
        <f>$K$236*$V$236</f>
        <v>4889.7791999999999</v>
      </c>
      <c r="AC236" s="4">
        <f>$M$236*$W$236</f>
        <v>0</v>
      </c>
      <c r="AD236" s="4">
        <f>$O$236*$X$236</f>
        <v>0</v>
      </c>
      <c r="AE236" s="4">
        <f ca="1">$K$236*$Y$236</f>
        <v>6265.3148961642682</v>
      </c>
      <c r="AF236" s="4">
        <f>$M$236*$Z$236</f>
        <v>0</v>
      </c>
      <c r="AG236" s="4">
        <f>$O$236*$AA$236</f>
        <v>0</v>
      </c>
    </row>
    <row r="237" spans="1:33" ht="11.25" customHeight="1" x14ac:dyDescent="0.25">
      <c r="A237" s="3" t="s">
        <v>21</v>
      </c>
      <c r="B237" s="3" t="s">
        <v>35</v>
      </c>
      <c r="C237" s="3" t="s">
        <v>36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37</v>
      </c>
      <c r="I237" s="6">
        <v>44440</v>
      </c>
      <c r="J237" s="4">
        <v>0</v>
      </c>
      <c r="K237" s="52">
        <v>0</v>
      </c>
      <c r="L237" s="4">
        <v>4.2469999999999999</v>
      </c>
      <c r="M237" s="52">
        <v>4.2469999999999999</v>
      </c>
      <c r="N237" s="4">
        <v>4.2469999999999999</v>
      </c>
      <c r="O237" s="52">
        <v>4.2469999999999999</v>
      </c>
      <c r="P237" s="4">
        <v>0</v>
      </c>
      <c r="Q237" s="3" t="s">
        <v>26</v>
      </c>
      <c r="R237" s="3">
        <v>0</v>
      </c>
      <c r="S237" s="4">
        <v>0</v>
      </c>
      <c r="T237" s="4">
        <v>33</v>
      </c>
      <c r="U237" s="4">
        <v>51</v>
      </c>
      <c r="V237" s="52">
        <f>IF(ISERROR(VLOOKUP($S$237,'TAR FIN'!$A$1:$O$85,15,0)),0,VLOOKUP($S$237,'TAR FIN'!$A$1:$O$85,15,0))</f>
        <v>0</v>
      </c>
      <c r="W237" s="52">
        <f>IF(ISERROR(VLOOKUP($T$237,'TAR FIN'!$A$1:$O$85,15,0)),0,VLOOKUP($T$237,'TAR FIN'!$A$1:$O$85,15,0))*(1-0.04)</f>
        <v>1859.4623999999999</v>
      </c>
      <c r="X237" s="52">
        <f>IF(ISERROR(VLOOKUP($U$237,'TAR FIN'!$A$1:$O$85,15,0)),0,VLOOKUP($U$237,'TAR FIN'!$A$1:$O$85,15,0))*(1-0.04)</f>
        <v>257.1936</v>
      </c>
      <c r="Y237" s="52"/>
      <c r="Z237" s="52">
        <f ca="1">('TUSD BE'!$AM$11+'TUSD BF'!$AM$11+'TUSD CVA'!$AM$11)*1*(1-0.02)</f>
        <v>2163.0303623265568</v>
      </c>
      <c r="AA237" s="52">
        <f>('TE BE'!$AB$5+'TE BF'!$AB$5+'TE CVA'!$AB$5)*1*(1-0.02)</f>
        <v>181.71240751544846</v>
      </c>
      <c r="AB237" s="4">
        <f>$K$237*$V$237</f>
        <v>0</v>
      </c>
      <c r="AC237" s="4">
        <f>$M$237*$W$237</f>
        <v>7897.1368127999995</v>
      </c>
      <c r="AD237" s="4">
        <f>$O$237*$X$237</f>
        <v>1092.3012191999999</v>
      </c>
      <c r="AE237" s="4">
        <f>$K$237*$Y$237</f>
        <v>0</v>
      </c>
      <c r="AF237" s="4">
        <f ca="1">$M$237*$Z$237</f>
        <v>9186.3899488008865</v>
      </c>
      <c r="AG237" s="4">
        <f>$O$237*$AA$237</f>
        <v>771.73259471810957</v>
      </c>
    </row>
    <row r="238" spans="1:33" ht="11.25" customHeight="1" x14ac:dyDescent="0.25">
      <c r="A238" s="3" t="s">
        <v>21</v>
      </c>
      <c r="B238" s="3" t="s">
        <v>35</v>
      </c>
      <c r="C238" s="3" t="s">
        <v>36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37</v>
      </c>
      <c r="I238" s="6">
        <v>44470</v>
      </c>
      <c r="J238" s="4">
        <v>0</v>
      </c>
      <c r="K238" s="52">
        <v>0</v>
      </c>
      <c r="L238" s="4">
        <v>1.5149999999999999</v>
      </c>
      <c r="M238" s="52">
        <v>1.5149999999999999</v>
      </c>
      <c r="N238" s="4">
        <v>1.5149999999999999</v>
      </c>
      <c r="O238" s="52">
        <v>1.5149999999999999</v>
      </c>
      <c r="P238" s="4">
        <v>0</v>
      </c>
      <c r="Q238" s="3" t="s">
        <v>26</v>
      </c>
      <c r="R238" s="3">
        <v>0</v>
      </c>
      <c r="S238" s="4">
        <v>0</v>
      </c>
      <c r="T238" s="4">
        <v>33</v>
      </c>
      <c r="U238" s="4">
        <v>51</v>
      </c>
      <c r="V238" s="52">
        <f>IF(ISERROR(VLOOKUP($S$238,'TAR FIN'!$A$1:$O$85,15,0)),0,VLOOKUP($S$238,'TAR FIN'!$A$1:$O$85,15,0))</f>
        <v>0</v>
      </c>
      <c r="W238" s="52">
        <f>IF(ISERROR(VLOOKUP($T$238,'TAR FIN'!$A$1:$O$85,15,0)),0,VLOOKUP($T$238,'TAR FIN'!$A$1:$O$85,15,0))*(1-0.04)</f>
        <v>1859.4623999999999</v>
      </c>
      <c r="X238" s="52">
        <f>IF(ISERROR(VLOOKUP($U$238,'TAR FIN'!$A$1:$O$85,15,0)),0,VLOOKUP($U$238,'TAR FIN'!$A$1:$O$85,15,0))*(1-0.04)</f>
        <v>257.1936</v>
      </c>
      <c r="Y238" s="52"/>
      <c r="Z238" s="52">
        <f ca="1">('TUSD BE'!$AM$11+'TUSD BF'!$AM$11+'TUSD CVA'!$AM$11)*1*(1-0.02)</f>
        <v>2163.0303623265568</v>
      </c>
      <c r="AA238" s="52">
        <f>('TE BE'!$AB$5+'TE BF'!$AB$5+'TE CVA'!$AB$5)*1*(1-0.02)</f>
        <v>181.71240751544846</v>
      </c>
      <c r="AB238" s="4">
        <f>$K$238*$V$238</f>
        <v>0</v>
      </c>
      <c r="AC238" s="4">
        <f>$M$238*$W$238</f>
        <v>2817.0855359999996</v>
      </c>
      <c r="AD238" s="4">
        <f>$O$238*$X$238</f>
        <v>389.648304</v>
      </c>
      <c r="AE238" s="4">
        <f>$K$238*$Y$238</f>
        <v>0</v>
      </c>
      <c r="AF238" s="4">
        <f ca="1">$M$238*$Z$238</f>
        <v>3276.9909989247335</v>
      </c>
      <c r="AG238" s="4">
        <f>$O$238*$AA$238</f>
        <v>275.29429738590443</v>
      </c>
    </row>
    <row r="239" spans="1:33" ht="11.25" customHeight="1" x14ac:dyDescent="0.25">
      <c r="A239" s="3" t="s">
        <v>21</v>
      </c>
      <c r="B239" s="3" t="s">
        <v>35</v>
      </c>
      <c r="C239" s="3" t="s">
        <v>36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37</v>
      </c>
      <c r="I239" s="6">
        <v>44501</v>
      </c>
      <c r="J239" s="4">
        <v>0</v>
      </c>
      <c r="K239" s="52">
        <v>0</v>
      </c>
      <c r="L239" s="4">
        <v>1.4079999999999999</v>
      </c>
      <c r="M239" s="52">
        <v>1.4079999999999999</v>
      </c>
      <c r="N239" s="4">
        <v>1.4079999999999999</v>
      </c>
      <c r="O239" s="52">
        <v>1.4079999999999999</v>
      </c>
      <c r="P239" s="4">
        <v>0</v>
      </c>
      <c r="Q239" s="3" t="s">
        <v>26</v>
      </c>
      <c r="R239" s="3">
        <v>0</v>
      </c>
      <c r="S239" s="4">
        <v>0</v>
      </c>
      <c r="T239" s="4">
        <v>33</v>
      </c>
      <c r="U239" s="4">
        <v>51</v>
      </c>
      <c r="V239" s="52">
        <f>IF(ISERROR(VLOOKUP($S$239,'TAR FIN'!$A$1:$O$85,15,0)),0,VLOOKUP($S$239,'TAR FIN'!$A$1:$O$85,15,0))</f>
        <v>0</v>
      </c>
      <c r="W239" s="52">
        <f>IF(ISERROR(VLOOKUP($T$239,'TAR FIN'!$A$1:$O$85,15,0)),0,VLOOKUP($T$239,'TAR FIN'!$A$1:$O$85,15,0))*(1-0.04)</f>
        <v>1859.4623999999999</v>
      </c>
      <c r="X239" s="52">
        <f>IF(ISERROR(VLOOKUP($U$239,'TAR FIN'!$A$1:$O$85,15,0)),0,VLOOKUP($U$239,'TAR FIN'!$A$1:$O$85,15,0))*(1-0.04)</f>
        <v>257.1936</v>
      </c>
      <c r="Y239" s="52"/>
      <c r="Z239" s="52">
        <f ca="1">('TUSD BE'!$AM$11+'TUSD BF'!$AM$11+'TUSD CVA'!$AM$11)*1*(1-0.02)</f>
        <v>2163.0303623265568</v>
      </c>
      <c r="AA239" s="52">
        <f>('TE BE'!$AB$5+'TE BF'!$AB$5+'TE CVA'!$AB$5)*1*(1-0.02)</f>
        <v>181.71240751544846</v>
      </c>
      <c r="AB239" s="4">
        <f>$K$239*$V$239</f>
        <v>0</v>
      </c>
      <c r="AC239" s="4">
        <f>$M$239*$W$239</f>
        <v>2618.1230591999997</v>
      </c>
      <c r="AD239" s="4">
        <f>$O$239*$X$239</f>
        <v>362.12858879999999</v>
      </c>
      <c r="AE239" s="4">
        <f>$K$239*$Y$239</f>
        <v>0</v>
      </c>
      <c r="AF239" s="4">
        <f ca="1">$M$239*$Z$239</f>
        <v>3045.5467501557919</v>
      </c>
      <c r="AG239" s="4">
        <f>$O$239*$AA$239</f>
        <v>255.85106978175142</v>
      </c>
    </row>
    <row r="240" spans="1:33" ht="11.25" customHeight="1" x14ac:dyDescent="0.25">
      <c r="A240" s="3" t="s">
        <v>21</v>
      </c>
      <c r="B240" s="3" t="s">
        <v>35</v>
      </c>
      <c r="C240" s="3" t="s">
        <v>36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37</v>
      </c>
      <c r="I240" s="6">
        <v>44531</v>
      </c>
      <c r="J240" s="4">
        <v>0</v>
      </c>
      <c r="K240" s="52">
        <v>0</v>
      </c>
      <c r="L240" s="4">
        <v>1.385</v>
      </c>
      <c r="M240" s="52">
        <v>1.385</v>
      </c>
      <c r="N240" s="4">
        <v>1.385</v>
      </c>
      <c r="O240" s="52">
        <v>1.385</v>
      </c>
      <c r="P240" s="4">
        <v>0</v>
      </c>
      <c r="Q240" s="3" t="s">
        <v>26</v>
      </c>
      <c r="R240" s="3">
        <v>0</v>
      </c>
      <c r="S240" s="4">
        <v>0</v>
      </c>
      <c r="T240" s="4">
        <v>33</v>
      </c>
      <c r="U240" s="4">
        <v>51</v>
      </c>
      <c r="V240" s="52">
        <f>IF(ISERROR(VLOOKUP($S$240,'TAR FIN'!$A$1:$O$85,15,0)),0,VLOOKUP($S$240,'TAR FIN'!$A$1:$O$85,15,0))</f>
        <v>0</v>
      </c>
      <c r="W240" s="52">
        <f>IF(ISERROR(VLOOKUP($T$240,'TAR FIN'!$A$1:$O$85,15,0)),0,VLOOKUP($T$240,'TAR FIN'!$A$1:$O$85,15,0))*(1-0.04)</f>
        <v>1859.4623999999999</v>
      </c>
      <c r="X240" s="52">
        <f>IF(ISERROR(VLOOKUP($U$240,'TAR FIN'!$A$1:$O$85,15,0)),0,VLOOKUP($U$240,'TAR FIN'!$A$1:$O$85,15,0))*(1-0.04)</f>
        <v>257.1936</v>
      </c>
      <c r="Y240" s="52"/>
      <c r="Z240" s="52">
        <f ca="1">('TUSD BE'!$AM$11+'TUSD BF'!$AM$11+'TUSD CVA'!$AM$11)*1*(1-0.02)</f>
        <v>2163.0303623265568</v>
      </c>
      <c r="AA240" s="52">
        <f>('TE BE'!$AB$5+'TE BF'!$AB$5+'TE CVA'!$AB$5)*1*(1-0.02)</f>
        <v>181.71240751544846</v>
      </c>
      <c r="AB240" s="4">
        <f>$K$240*$V$240</f>
        <v>0</v>
      </c>
      <c r="AC240" s="4">
        <f>$M$240*$W$240</f>
        <v>2575.3554239999999</v>
      </c>
      <c r="AD240" s="4">
        <f>$O$240*$X$240</f>
        <v>356.21313600000002</v>
      </c>
      <c r="AE240" s="4">
        <f>$K$240*$Y$240</f>
        <v>0</v>
      </c>
      <c r="AF240" s="4">
        <f ca="1">$M$240*$Z$240</f>
        <v>2995.797051822281</v>
      </c>
      <c r="AG240" s="4">
        <f>$O$240*$AA$240</f>
        <v>251.67168440889611</v>
      </c>
    </row>
    <row r="241" spans="1:33" ht="11.25" customHeight="1" x14ac:dyDescent="0.25">
      <c r="A241" s="3" t="s">
        <v>21</v>
      </c>
      <c r="B241" s="3" t="s">
        <v>35</v>
      </c>
      <c r="C241" s="3" t="s">
        <v>36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37</v>
      </c>
      <c r="I241" s="6">
        <v>44562</v>
      </c>
      <c r="J241" s="4">
        <v>0</v>
      </c>
      <c r="K241" s="52">
        <v>0</v>
      </c>
      <c r="L241" s="4">
        <v>1.2430000000000001</v>
      </c>
      <c r="M241" s="52">
        <v>1.2430000000000001</v>
      </c>
      <c r="N241" s="4">
        <v>1.2430000000000001</v>
      </c>
      <c r="O241" s="52">
        <v>1.2430000000000001</v>
      </c>
      <c r="P241" s="4">
        <v>0</v>
      </c>
      <c r="Q241" s="3" t="s">
        <v>26</v>
      </c>
      <c r="R241" s="3">
        <v>0</v>
      </c>
      <c r="S241" s="4">
        <v>0</v>
      </c>
      <c r="T241" s="4">
        <v>33</v>
      </c>
      <c r="U241" s="4">
        <v>51</v>
      </c>
      <c r="V241" s="52">
        <f>IF(ISERROR(VLOOKUP($S$241,'TAR FIN'!$A$1:$O$85,15,0)),0,VLOOKUP($S$241,'TAR FIN'!$A$1:$O$85,15,0))</f>
        <v>0</v>
      </c>
      <c r="W241" s="52">
        <f>IF(ISERROR(VLOOKUP($T$241,'TAR FIN'!$A$1:$O$85,15,0)),0,VLOOKUP($T$241,'TAR FIN'!$A$1:$O$85,15,0))*(1-0.04)</f>
        <v>1859.4623999999999</v>
      </c>
      <c r="X241" s="52">
        <f>IF(ISERROR(VLOOKUP($U$241,'TAR FIN'!$A$1:$O$85,15,0)),0,VLOOKUP($U$241,'TAR FIN'!$A$1:$O$85,15,0))*(1-0.04)</f>
        <v>257.1936</v>
      </c>
      <c r="Y241" s="52"/>
      <c r="Z241" s="52">
        <f ca="1">('TUSD BE'!$AM$11+'TUSD BF'!$AM$11+'TUSD CVA'!$AM$11)*1*(1-0.02)</f>
        <v>2163.0303623265568</v>
      </c>
      <c r="AA241" s="52">
        <f>('TE BE'!$AB$5+'TE BF'!$AB$5+'TE CVA'!$AB$5)*1*(1-0.02)</f>
        <v>181.71240751544846</v>
      </c>
      <c r="AB241" s="4">
        <f>$K$241*$V$241</f>
        <v>0</v>
      </c>
      <c r="AC241" s="4">
        <f>$M$241*$W$241</f>
        <v>2311.3117631999999</v>
      </c>
      <c r="AD241" s="4">
        <f>$O$241*$X$241</f>
        <v>319.69164480000001</v>
      </c>
      <c r="AE241" s="4">
        <f>$K$241*$Y$241</f>
        <v>0</v>
      </c>
      <c r="AF241" s="4">
        <f ca="1">$M$241*$Z$241</f>
        <v>2688.6467403719103</v>
      </c>
      <c r="AG241" s="4">
        <f>$O$241*$AA$241</f>
        <v>225.86852254170245</v>
      </c>
    </row>
    <row r="242" spans="1:33" ht="11.25" customHeight="1" x14ac:dyDescent="0.25">
      <c r="A242" s="3" t="s">
        <v>21</v>
      </c>
      <c r="B242" s="3" t="s">
        <v>35</v>
      </c>
      <c r="C242" s="3" t="s">
        <v>36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37</v>
      </c>
      <c r="I242" s="6">
        <v>44593</v>
      </c>
      <c r="J242" s="4">
        <v>0</v>
      </c>
      <c r="K242" s="52">
        <v>0</v>
      </c>
      <c r="L242" s="4">
        <v>1.1970000000000001</v>
      </c>
      <c r="M242" s="52">
        <v>1.1970000000000001</v>
      </c>
      <c r="N242" s="4">
        <v>1.1970000000000001</v>
      </c>
      <c r="O242" s="52">
        <v>1.1970000000000001</v>
      </c>
      <c r="P242" s="4">
        <v>0</v>
      </c>
      <c r="Q242" s="3" t="s">
        <v>26</v>
      </c>
      <c r="R242" s="3">
        <v>0</v>
      </c>
      <c r="S242" s="4">
        <v>0</v>
      </c>
      <c r="T242" s="4">
        <v>33</v>
      </c>
      <c r="U242" s="4">
        <v>51</v>
      </c>
      <c r="V242" s="52">
        <f>IF(ISERROR(VLOOKUP($S$242,'TAR FIN'!$A$1:$O$85,15,0)),0,VLOOKUP($S$242,'TAR FIN'!$A$1:$O$85,15,0))</f>
        <v>0</v>
      </c>
      <c r="W242" s="52">
        <f>IF(ISERROR(VLOOKUP($T$242,'TAR FIN'!$A$1:$O$85,15,0)),0,VLOOKUP($T$242,'TAR FIN'!$A$1:$O$85,15,0))*(1-0.04)</f>
        <v>1859.4623999999999</v>
      </c>
      <c r="X242" s="52">
        <f>IF(ISERROR(VLOOKUP($U$242,'TAR FIN'!$A$1:$O$85,15,0)),0,VLOOKUP($U$242,'TAR FIN'!$A$1:$O$85,15,0))*(1-0.04)</f>
        <v>257.1936</v>
      </c>
      <c r="Y242" s="52"/>
      <c r="Z242" s="52">
        <f ca="1">('TUSD BE'!$AM$11+'TUSD BF'!$AM$11+'TUSD CVA'!$AM$11)*1*(1-0.02)</f>
        <v>2163.0303623265568</v>
      </c>
      <c r="AA242" s="52">
        <f>('TE BE'!$AB$5+'TE BF'!$AB$5+'TE CVA'!$AB$5)*1*(1-0.02)</f>
        <v>181.71240751544846</v>
      </c>
      <c r="AB242" s="4">
        <f>$K$242*$V$242</f>
        <v>0</v>
      </c>
      <c r="AC242" s="4">
        <f>$M$242*$W$242</f>
        <v>2225.7764928000001</v>
      </c>
      <c r="AD242" s="4">
        <f>$O$242*$X$242</f>
        <v>307.86073920000001</v>
      </c>
      <c r="AE242" s="4">
        <f>$K$242*$Y$242</f>
        <v>0</v>
      </c>
      <c r="AF242" s="4">
        <f ca="1">$M$242*$Z$242</f>
        <v>2589.1473437048885</v>
      </c>
      <c r="AG242" s="4">
        <f>$O$242*$AA$242</f>
        <v>217.50975179599183</v>
      </c>
    </row>
    <row r="243" spans="1:33" ht="11.25" customHeight="1" x14ac:dyDescent="0.25">
      <c r="A243" s="3" t="s">
        <v>21</v>
      </c>
      <c r="B243" s="3" t="s">
        <v>35</v>
      </c>
      <c r="C243" s="3" t="s">
        <v>36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37</v>
      </c>
      <c r="I243" s="6">
        <v>44621</v>
      </c>
      <c r="J243" s="4">
        <v>0</v>
      </c>
      <c r="K243" s="52">
        <v>0</v>
      </c>
      <c r="L243" s="4">
        <v>1.4970000000000001</v>
      </c>
      <c r="M243" s="52">
        <v>1.4970000000000001</v>
      </c>
      <c r="N243" s="4">
        <v>1.4970000000000001</v>
      </c>
      <c r="O243" s="52">
        <v>1.4970000000000001</v>
      </c>
      <c r="P243" s="4">
        <v>0</v>
      </c>
      <c r="Q243" s="3" t="s">
        <v>26</v>
      </c>
      <c r="R243" s="3">
        <v>0</v>
      </c>
      <c r="S243" s="4">
        <v>0</v>
      </c>
      <c r="T243" s="4">
        <v>33</v>
      </c>
      <c r="U243" s="4">
        <v>51</v>
      </c>
      <c r="V243" s="52">
        <f>IF(ISERROR(VLOOKUP($S$243,'TAR FIN'!$A$1:$O$85,15,0)),0,VLOOKUP($S$243,'TAR FIN'!$A$1:$O$85,15,0))</f>
        <v>0</v>
      </c>
      <c r="W243" s="52">
        <f>IF(ISERROR(VLOOKUP($T$243,'TAR FIN'!$A$1:$O$85,15,0)),0,VLOOKUP($T$243,'TAR FIN'!$A$1:$O$85,15,0))*(1-0.04)</f>
        <v>1859.4623999999999</v>
      </c>
      <c r="X243" s="52">
        <f>IF(ISERROR(VLOOKUP($U$243,'TAR FIN'!$A$1:$O$85,15,0)),0,VLOOKUP($U$243,'TAR FIN'!$A$1:$O$85,15,0))*(1-0.04)</f>
        <v>257.1936</v>
      </c>
      <c r="Y243" s="52"/>
      <c r="Z243" s="52">
        <f ca="1">('TUSD BE'!$AM$11+'TUSD BF'!$AM$11+'TUSD CVA'!$AM$11)*1*(1-0.02)</f>
        <v>2163.0303623265568</v>
      </c>
      <c r="AA243" s="52">
        <f>('TE BE'!$AB$5+'TE BF'!$AB$5+'TE CVA'!$AB$5)*1*(1-0.02)</f>
        <v>181.71240751544846</v>
      </c>
      <c r="AB243" s="4">
        <f>$K$243*$V$243</f>
        <v>0</v>
      </c>
      <c r="AC243" s="4">
        <f>$M$243*$W$243</f>
        <v>2783.6152127999999</v>
      </c>
      <c r="AD243" s="4">
        <f>$O$243*$X$243</f>
        <v>385.01881920000005</v>
      </c>
      <c r="AE243" s="4">
        <f>$K$243*$Y$243</f>
        <v>0</v>
      </c>
      <c r="AF243" s="4">
        <f ca="1">$M$243*$Z$243</f>
        <v>3238.0564524028559</v>
      </c>
      <c r="AG243" s="4">
        <f>$O$243*$AA$243</f>
        <v>272.02347405062636</v>
      </c>
    </row>
    <row r="244" spans="1:33" ht="11.25" customHeight="1" x14ac:dyDescent="0.25">
      <c r="A244" s="3" t="s">
        <v>21</v>
      </c>
      <c r="B244" s="3" t="s">
        <v>35</v>
      </c>
      <c r="C244" s="3" t="s">
        <v>36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37</v>
      </c>
      <c r="I244" s="6">
        <v>44652</v>
      </c>
      <c r="J244" s="4">
        <v>0</v>
      </c>
      <c r="K244" s="52">
        <v>0</v>
      </c>
      <c r="L244" s="4">
        <v>1.2509999999999999</v>
      </c>
      <c r="M244" s="52">
        <v>1.2509999999999999</v>
      </c>
      <c r="N244" s="4">
        <v>1.2509999999999999</v>
      </c>
      <c r="O244" s="52">
        <v>1.2509999999999999</v>
      </c>
      <c r="P244" s="4">
        <v>0</v>
      </c>
      <c r="Q244" s="3" t="s">
        <v>26</v>
      </c>
      <c r="R244" s="3">
        <v>0</v>
      </c>
      <c r="S244" s="4">
        <v>0</v>
      </c>
      <c r="T244" s="4">
        <v>33</v>
      </c>
      <c r="U244" s="4">
        <v>51</v>
      </c>
      <c r="V244" s="52">
        <f>IF(ISERROR(VLOOKUP($S$244,'TAR FIN'!$A$1:$O$85,15,0)),0,VLOOKUP($S$244,'TAR FIN'!$A$1:$O$85,15,0))</f>
        <v>0</v>
      </c>
      <c r="W244" s="52">
        <f>IF(ISERROR(VLOOKUP($T$244,'TAR FIN'!$A$1:$O$85,15,0)),0,VLOOKUP($T$244,'TAR FIN'!$A$1:$O$85,15,0))*(1-0.04)</f>
        <v>1859.4623999999999</v>
      </c>
      <c r="X244" s="52">
        <f>IF(ISERROR(VLOOKUP($U$244,'TAR FIN'!$A$1:$O$85,15,0)),0,VLOOKUP($U$244,'TAR FIN'!$A$1:$O$85,15,0))*(1-0.04)</f>
        <v>257.1936</v>
      </c>
      <c r="Y244" s="52"/>
      <c r="Z244" s="52">
        <f ca="1">('TUSD BE'!$AM$11+'TUSD BF'!$AM$11+'TUSD CVA'!$AM$11)*1*(1-0.02)</f>
        <v>2163.0303623265568</v>
      </c>
      <c r="AA244" s="52">
        <f>('TE BE'!$AB$5+'TE BF'!$AB$5+'TE CVA'!$AB$5)*1*(1-0.02)</f>
        <v>181.71240751544846</v>
      </c>
      <c r="AB244" s="4">
        <f>$K$244*$V$244</f>
        <v>0</v>
      </c>
      <c r="AC244" s="4">
        <f>$M$244*$W$244</f>
        <v>2326.1874623999997</v>
      </c>
      <c r="AD244" s="4">
        <f>$O$244*$X$244</f>
        <v>321.74919359999996</v>
      </c>
      <c r="AE244" s="4">
        <f>$K$244*$Y$244</f>
        <v>0</v>
      </c>
      <c r="AF244" s="4">
        <f ca="1">$M$244*$Z$244</f>
        <v>2705.9509832705221</v>
      </c>
      <c r="AG244" s="4">
        <f>$O$244*$AA$244</f>
        <v>227.322221801826</v>
      </c>
    </row>
    <row r="245" spans="1:33" ht="11.25" customHeight="1" x14ac:dyDescent="0.25">
      <c r="A245" s="3" t="s">
        <v>21</v>
      </c>
      <c r="B245" s="3" t="s">
        <v>35</v>
      </c>
      <c r="C245" s="3" t="s">
        <v>36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37</v>
      </c>
      <c r="I245" s="6">
        <v>44682</v>
      </c>
      <c r="J245" s="4">
        <v>0</v>
      </c>
      <c r="K245" s="52">
        <v>0</v>
      </c>
      <c r="L245" s="4">
        <v>6.758</v>
      </c>
      <c r="M245" s="52">
        <v>6.758</v>
      </c>
      <c r="N245" s="4">
        <v>6.758</v>
      </c>
      <c r="O245" s="52">
        <v>6.758</v>
      </c>
      <c r="P245" s="4">
        <v>0</v>
      </c>
      <c r="Q245" s="3" t="s">
        <v>26</v>
      </c>
      <c r="R245" s="3">
        <v>0</v>
      </c>
      <c r="S245" s="4">
        <v>0</v>
      </c>
      <c r="T245" s="4">
        <v>33</v>
      </c>
      <c r="U245" s="4">
        <v>51</v>
      </c>
      <c r="V245" s="52">
        <f>IF(ISERROR(VLOOKUP($S$245,'TAR FIN'!$A$1:$O$85,15,0)),0,VLOOKUP($S$245,'TAR FIN'!$A$1:$O$85,15,0))</f>
        <v>0</v>
      </c>
      <c r="W245" s="52">
        <f>IF(ISERROR(VLOOKUP($T$245,'TAR FIN'!$A$1:$O$85,15,0)),0,VLOOKUP($T$245,'TAR FIN'!$A$1:$O$85,15,0))*(1-0.04)</f>
        <v>1859.4623999999999</v>
      </c>
      <c r="X245" s="52">
        <f>IF(ISERROR(VLOOKUP($U$245,'TAR FIN'!$A$1:$O$85,15,0)),0,VLOOKUP($U$245,'TAR FIN'!$A$1:$O$85,15,0))*(1-0.04)</f>
        <v>257.1936</v>
      </c>
      <c r="Y245" s="52"/>
      <c r="Z245" s="52">
        <f ca="1">('TUSD BE'!$AM$11+'TUSD BF'!$AM$11+'TUSD CVA'!$AM$11)*1*(1-0.02)</f>
        <v>2163.0303623265568</v>
      </c>
      <c r="AA245" s="52">
        <f>('TE BE'!$AB$5+'TE BF'!$AB$5+'TE CVA'!$AB$5)*1*(1-0.02)</f>
        <v>181.71240751544846</v>
      </c>
      <c r="AB245" s="4">
        <f>$K$245*$V$245</f>
        <v>0</v>
      </c>
      <c r="AC245" s="4">
        <f>$M$245*$W$245</f>
        <v>12566.246899199999</v>
      </c>
      <c r="AD245" s="4">
        <f>$O$245*$X$245</f>
        <v>1738.1143488</v>
      </c>
      <c r="AE245" s="4">
        <f>$K$245*$Y$245</f>
        <v>0</v>
      </c>
      <c r="AF245" s="4">
        <f ca="1">$M$245*$Z$245</f>
        <v>14617.759188602871</v>
      </c>
      <c r="AG245" s="4">
        <f>$O$245*$AA$245</f>
        <v>1228.0124499894007</v>
      </c>
    </row>
    <row r="246" spans="1:33" ht="11.25" customHeight="1" x14ac:dyDescent="0.25">
      <c r="A246" s="3" t="s">
        <v>21</v>
      </c>
      <c r="B246" s="3" t="s">
        <v>35</v>
      </c>
      <c r="C246" s="3" t="s">
        <v>36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37</v>
      </c>
      <c r="I246" s="6">
        <v>44713</v>
      </c>
      <c r="J246" s="4">
        <v>0</v>
      </c>
      <c r="K246" s="52">
        <v>0</v>
      </c>
      <c r="L246" s="4">
        <v>8.375</v>
      </c>
      <c r="M246" s="52">
        <v>8.375</v>
      </c>
      <c r="N246" s="4">
        <v>8.375</v>
      </c>
      <c r="O246" s="52">
        <v>8.375</v>
      </c>
      <c r="P246" s="4">
        <v>0</v>
      </c>
      <c r="Q246" s="3" t="s">
        <v>26</v>
      </c>
      <c r="R246" s="3">
        <v>0</v>
      </c>
      <c r="S246" s="4">
        <v>0</v>
      </c>
      <c r="T246" s="4">
        <v>33</v>
      </c>
      <c r="U246" s="4">
        <v>51</v>
      </c>
      <c r="V246" s="52">
        <f>IF(ISERROR(VLOOKUP($S$246,'TAR FIN'!$A$1:$O$85,15,0)),0,VLOOKUP($S$246,'TAR FIN'!$A$1:$O$85,15,0))</f>
        <v>0</v>
      </c>
      <c r="W246" s="52">
        <f>IF(ISERROR(VLOOKUP($T$246,'TAR FIN'!$A$1:$O$85,15,0)),0,VLOOKUP($T$246,'TAR FIN'!$A$1:$O$85,15,0))*(1-0.04)</f>
        <v>1859.4623999999999</v>
      </c>
      <c r="X246" s="52">
        <f>IF(ISERROR(VLOOKUP($U$246,'TAR FIN'!$A$1:$O$85,15,0)),0,VLOOKUP($U$246,'TAR FIN'!$A$1:$O$85,15,0))*(1-0.04)</f>
        <v>257.1936</v>
      </c>
      <c r="Y246" s="52"/>
      <c r="Z246" s="52">
        <f ca="1">('TUSD BE'!$AM$11+'TUSD BF'!$AM$11+'TUSD CVA'!$AM$11)*1*(1-0.02)</f>
        <v>2163.0303623265568</v>
      </c>
      <c r="AA246" s="52">
        <f>('TE BE'!$AB$5+'TE BF'!$AB$5+'TE CVA'!$AB$5)*1*(1-0.02)</f>
        <v>181.71240751544846</v>
      </c>
      <c r="AB246" s="4">
        <f>$K$246*$V$246</f>
        <v>0</v>
      </c>
      <c r="AC246" s="4">
        <f>$M$246*$W$246</f>
        <v>15572.997599999999</v>
      </c>
      <c r="AD246" s="4">
        <f>$O$246*$X$246</f>
        <v>2153.9964</v>
      </c>
      <c r="AE246" s="4">
        <f>$K$246*$Y$246</f>
        <v>0</v>
      </c>
      <c r="AF246" s="4">
        <f ca="1">$M$246*$Z$246</f>
        <v>18115.379284484912</v>
      </c>
      <c r="AG246" s="4">
        <f>$O$246*$AA$246</f>
        <v>1521.8414129418809</v>
      </c>
    </row>
    <row r="247" spans="1:33" ht="11.25" customHeight="1" x14ac:dyDescent="0.25">
      <c r="A247" s="3" t="s">
        <v>21</v>
      </c>
      <c r="B247" s="3" t="s">
        <v>35</v>
      </c>
      <c r="C247" s="3" t="s">
        <v>36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37</v>
      </c>
      <c r="I247" s="6">
        <v>44743</v>
      </c>
      <c r="J247" s="4">
        <v>0</v>
      </c>
      <c r="K247" s="52">
        <v>0</v>
      </c>
      <c r="L247" s="4">
        <v>6.0789999999999997</v>
      </c>
      <c r="M247" s="52">
        <v>6.0789999999999997</v>
      </c>
      <c r="N247" s="4">
        <v>6.0789999999999997</v>
      </c>
      <c r="O247" s="52">
        <v>6.0789999999999997</v>
      </c>
      <c r="P247" s="4">
        <v>0</v>
      </c>
      <c r="Q247" s="3" t="s">
        <v>26</v>
      </c>
      <c r="R247" s="3">
        <v>0</v>
      </c>
      <c r="S247" s="4">
        <v>0</v>
      </c>
      <c r="T247" s="4">
        <v>33</v>
      </c>
      <c r="U247" s="4">
        <v>51</v>
      </c>
      <c r="V247" s="52">
        <f>IF(ISERROR(VLOOKUP($S$247,'TAR FIN'!$A$1:$O$85,15,0)),0,VLOOKUP($S$247,'TAR FIN'!$A$1:$O$85,15,0))</f>
        <v>0</v>
      </c>
      <c r="W247" s="52">
        <f>IF(ISERROR(VLOOKUP($T$247,'TAR FIN'!$A$1:$O$85,15,0)),0,VLOOKUP($T$247,'TAR FIN'!$A$1:$O$85,15,0))*(1-0.04)</f>
        <v>1859.4623999999999</v>
      </c>
      <c r="X247" s="52">
        <f>IF(ISERROR(VLOOKUP($U$247,'TAR FIN'!$A$1:$O$85,15,0)),0,VLOOKUP($U$247,'TAR FIN'!$A$1:$O$85,15,0))*(1-0.04)</f>
        <v>257.1936</v>
      </c>
      <c r="Y247" s="52"/>
      <c r="Z247" s="52">
        <f ca="1">('TUSD BE'!$AM$11+'TUSD BF'!$AM$11+'TUSD CVA'!$AM$11)*1*(1-0.02)</f>
        <v>2163.0303623265568</v>
      </c>
      <c r="AA247" s="52">
        <f>('TE BE'!$AB$5+'TE BF'!$AB$5+'TE CVA'!$AB$5)*1*(1-0.02)</f>
        <v>181.71240751544846</v>
      </c>
      <c r="AB247" s="4">
        <f>$K$247*$V$247</f>
        <v>0</v>
      </c>
      <c r="AC247" s="4">
        <f>$M$247*$W$247</f>
        <v>11303.671929599999</v>
      </c>
      <c r="AD247" s="4">
        <f>$O$247*$X$247</f>
        <v>1563.4798943999999</v>
      </c>
      <c r="AE247" s="4">
        <f>$K$247*$Y$247</f>
        <v>0</v>
      </c>
      <c r="AF247" s="4">
        <f ca="1">$M$247*$Z$247</f>
        <v>13149.061572583138</v>
      </c>
      <c r="AG247" s="4">
        <f>$O$247*$AA$247</f>
        <v>1104.6297252864113</v>
      </c>
    </row>
    <row r="248" spans="1:33" ht="11.25" customHeight="1" x14ac:dyDescent="0.25">
      <c r="A248" s="3" t="s">
        <v>21</v>
      </c>
      <c r="B248" s="3" t="s">
        <v>35</v>
      </c>
      <c r="C248" s="3" t="s">
        <v>36</v>
      </c>
      <c r="D248" s="3" t="s">
        <v>41</v>
      </c>
      <c r="E248" s="3" t="s">
        <v>25</v>
      </c>
      <c r="F248" s="3" t="s">
        <v>25</v>
      </c>
      <c r="G248" s="3" t="s">
        <v>25</v>
      </c>
      <c r="H248" s="3" t="s">
        <v>37</v>
      </c>
      <c r="I248" s="6">
        <v>44774</v>
      </c>
      <c r="J248" s="4">
        <v>0</v>
      </c>
      <c r="K248" s="52">
        <v>0</v>
      </c>
      <c r="L248" s="4">
        <v>7.3</v>
      </c>
      <c r="M248" s="52">
        <v>7.3</v>
      </c>
      <c r="N248" s="4">
        <v>7.3</v>
      </c>
      <c r="O248" s="52">
        <v>7.3</v>
      </c>
      <c r="P248" s="4">
        <v>0</v>
      </c>
      <c r="Q248" s="3" t="s">
        <v>26</v>
      </c>
      <c r="R248" s="3">
        <v>0</v>
      </c>
      <c r="S248" s="4">
        <v>0</v>
      </c>
      <c r="T248" s="4">
        <v>33</v>
      </c>
      <c r="U248" s="4">
        <v>51</v>
      </c>
      <c r="V248" s="52">
        <f>IF(ISERROR(VLOOKUP($S$248,'TAR FIN'!$A$1:$O$85,15,0)),0,VLOOKUP($S$248,'TAR FIN'!$A$1:$O$85,15,0))</f>
        <v>0</v>
      </c>
      <c r="W248" s="52">
        <f>IF(ISERROR(VLOOKUP($T$248,'TAR FIN'!$A$1:$O$85,15,0)),0,VLOOKUP($T$248,'TAR FIN'!$A$1:$O$85,15,0))*(1-0.04)</f>
        <v>1859.4623999999999</v>
      </c>
      <c r="X248" s="52">
        <f>IF(ISERROR(VLOOKUP($U$248,'TAR FIN'!$A$1:$O$85,15,0)),0,VLOOKUP($U$248,'TAR FIN'!$A$1:$O$85,15,0))*(1-0.04)</f>
        <v>257.1936</v>
      </c>
      <c r="Y248" s="52"/>
      <c r="Z248" s="52">
        <f ca="1">('TUSD BE'!$AM$11+'TUSD BF'!$AM$11+'TUSD CVA'!$AM$11)*1*(1-0.02)</f>
        <v>2163.0303623265568</v>
      </c>
      <c r="AA248" s="52">
        <f>('TE BE'!$AB$5+'TE BF'!$AB$5+'TE CVA'!$AB$5)*1*(1-0.02)</f>
        <v>181.71240751544846</v>
      </c>
      <c r="AB248" s="4">
        <f>$K$248*$V$248</f>
        <v>0</v>
      </c>
      <c r="AC248" s="4">
        <f>$M$248*$W$248</f>
        <v>13574.075519999999</v>
      </c>
      <c r="AD248" s="4">
        <f>$O$248*$X$248</f>
        <v>1877.5132799999999</v>
      </c>
      <c r="AE248" s="4">
        <f>$K$248*$Y$248</f>
        <v>0</v>
      </c>
      <c r="AF248" s="4">
        <f ca="1">$M$248*$Z$248</f>
        <v>15790.121644983865</v>
      </c>
      <c r="AG248" s="4">
        <f>$O$248*$AA$248</f>
        <v>1326.5005748627736</v>
      </c>
    </row>
    <row r="249" spans="1:33" ht="11.25" customHeight="1" x14ac:dyDescent="0.25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44440</v>
      </c>
      <c r="J249" s="4">
        <v>0</v>
      </c>
      <c r="K249" s="4">
        <v>0</v>
      </c>
      <c r="L249" s="4">
        <v>544.54100000000005</v>
      </c>
      <c r="M249" s="4">
        <v>544.54100000000005</v>
      </c>
      <c r="N249" s="4">
        <v>544.54100000000005</v>
      </c>
      <c r="O249" s="4">
        <v>544.54100000000005</v>
      </c>
      <c r="P249" s="4">
        <v>3503</v>
      </c>
      <c r="Q249" s="3" t="s">
        <v>26</v>
      </c>
      <c r="R249" s="3">
        <v>0</v>
      </c>
      <c r="S249" s="4">
        <v>0</v>
      </c>
      <c r="T249" s="4">
        <v>6</v>
      </c>
      <c r="U249" s="4">
        <v>32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367.75</v>
      </c>
      <c r="X249" s="4">
        <f>IF(ISERROR(VLOOKUP($U$249,'TAR FIN'!$A$1:$O$85,15,0)),0,VLOOKUP($U$249,'TAR FIN'!$A$1:$O$85,15,0))</f>
        <v>267.91000000000003</v>
      </c>
      <c r="Y249" s="4"/>
      <c r="Z249" s="4">
        <f ca="1">('TUSD BE'!$AM$20+'TUSD BF'!$AM$20+'TUSD CVA'!$AM$20)*1</f>
        <v>437.60278231454038</v>
      </c>
      <c r="AA249" s="4">
        <f>('TE BE'!$AB$10+'TE BF'!$AB$10+'TE CVA'!$AB$10)*1</f>
        <v>185.42082399535556</v>
      </c>
      <c r="AB249" s="4">
        <f>$K$249*$V$249</f>
        <v>0</v>
      </c>
      <c r="AC249" s="4">
        <f>$M$249*$W$249</f>
        <v>200254.95275000003</v>
      </c>
      <c r="AD249" s="4">
        <f>$O$249*$X$249</f>
        <v>145887.97931000002</v>
      </c>
      <c r="AE249" s="4">
        <f>$K$249*$Y$249</f>
        <v>0</v>
      </c>
      <c r="AF249" s="4">
        <f ca="1">$M$249*$Z$249</f>
        <v>238292.65668434216</v>
      </c>
      <c r="AG249" s="4">
        <f>$O$249*$AA$249</f>
        <v>100969.24091925492</v>
      </c>
    </row>
    <row r="250" spans="1:33" ht="11.25" customHeight="1" x14ac:dyDescent="0.25">
      <c r="A250" s="3" t="s">
        <v>27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44440</v>
      </c>
      <c r="J250" s="4">
        <v>0</v>
      </c>
      <c r="K250" s="4">
        <v>0</v>
      </c>
      <c r="L250" s="4">
        <v>-0.17699999999999999</v>
      </c>
      <c r="M250" s="4">
        <v>-0.17699999999999999</v>
      </c>
      <c r="N250" s="4">
        <v>-0.17699999999999999</v>
      </c>
      <c r="O250" s="4">
        <v>-0.17699999999999999</v>
      </c>
      <c r="P250" s="4">
        <v>0</v>
      </c>
      <c r="Q250" s="3" t="s">
        <v>26</v>
      </c>
      <c r="R250" s="3">
        <v>0</v>
      </c>
      <c r="S250" s="4">
        <v>0</v>
      </c>
      <c r="T250" s="4">
        <v>6</v>
      </c>
      <c r="U250" s="4">
        <v>32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367.75</v>
      </c>
      <c r="X250" s="4">
        <f>IF(ISERROR(VLOOKUP($U$250,'TAR FIN'!$A$1:$O$85,15,0)),0,VLOOKUP($U$250,'TAR FIN'!$A$1:$O$85,15,0))</f>
        <v>267.91000000000003</v>
      </c>
      <c r="Y250" s="4"/>
      <c r="Z250" s="4">
        <f ca="1">('TUSD BE'!$AM$20+'TUSD BF'!$AM$20+'TUSD CVA'!$AM$20)*1</f>
        <v>437.60278231454038</v>
      </c>
      <c r="AA250" s="4">
        <f>('TE BE'!$AB$10+'TE BF'!$AB$10+'TE CVA'!$AB$10)*1</f>
        <v>185.42082399535556</v>
      </c>
      <c r="AB250" s="4">
        <f>$K$250*$V$250</f>
        <v>0</v>
      </c>
      <c r="AC250" s="4">
        <f>$M$250*$W$250</f>
        <v>-65.09174999999999</v>
      </c>
      <c r="AD250" s="4">
        <f>$O$250*$X$250</f>
        <v>-47.420070000000003</v>
      </c>
      <c r="AE250" s="4">
        <f>$K$250*$Y$250</f>
        <v>0</v>
      </c>
      <c r="AF250" s="4">
        <f ca="1">$M$250*$Z$250</f>
        <v>-77.455692469673636</v>
      </c>
      <c r="AG250" s="4">
        <f>$O$250*$AA$250</f>
        <v>-32.81948584717793</v>
      </c>
    </row>
    <row r="251" spans="1:33" ht="11.25" customHeight="1" x14ac:dyDescent="0.25">
      <c r="A251" s="3" t="s">
        <v>28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44440</v>
      </c>
      <c r="J251" s="4">
        <v>0</v>
      </c>
      <c r="K251" s="4">
        <v>0</v>
      </c>
      <c r="L251" s="4">
        <v>1.4990000000000001</v>
      </c>
      <c r="M251" s="4">
        <v>1.4990000000000001</v>
      </c>
      <c r="N251" s="4">
        <v>1.4990000000000001</v>
      </c>
      <c r="O251" s="4">
        <v>1.4990000000000001</v>
      </c>
      <c r="P251" s="4">
        <v>13</v>
      </c>
      <c r="Q251" s="3" t="s">
        <v>26</v>
      </c>
      <c r="R251" s="3">
        <v>0</v>
      </c>
      <c r="S251" s="4">
        <v>0</v>
      </c>
      <c r="T251" s="4">
        <v>6</v>
      </c>
      <c r="U251" s="4">
        <v>32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367.75</v>
      </c>
      <c r="X251" s="4">
        <f>IF(ISERROR(VLOOKUP($U$251,'TAR FIN'!$A$1:$O$85,15,0)),0,VLOOKUP($U$251,'TAR FIN'!$A$1:$O$85,15,0))</f>
        <v>267.91000000000003</v>
      </c>
      <c r="Y251" s="4"/>
      <c r="Z251" s="4">
        <f ca="1">('TUSD BE'!$AM$20+'TUSD BF'!$AM$20+'TUSD CVA'!$AM$20)*1</f>
        <v>437.60278231454038</v>
      </c>
      <c r="AA251" s="4">
        <f>('TE BE'!$AB$10+'TE BF'!$AB$10+'TE CVA'!$AB$10)*1</f>
        <v>185.42082399535556</v>
      </c>
      <c r="AB251" s="4">
        <f>$K$251*$V$251</f>
        <v>0</v>
      </c>
      <c r="AC251" s="4">
        <f>$M$251*$W$251</f>
        <v>551.25725</v>
      </c>
      <c r="AD251" s="4">
        <f>$O$251*$X$251</f>
        <v>401.59709000000009</v>
      </c>
      <c r="AE251" s="4">
        <f>$K$251*$Y$251</f>
        <v>0</v>
      </c>
      <c r="AF251" s="4">
        <f ca="1">$M$251*$Z$251</f>
        <v>655.96657068949605</v>
      </c>
      <c r="AG251" s="4">
        <f>$O$251*$AA$251</f>
        <v>277.94581516903799</v>
      </c>
    </row>
    <row r="252" spans="1:3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44470</v>
      </c>
      <c r="J252" s="4">
        <v>0</v>
      </c>
      <c r="K252" s="4">
        <v>0</v>
      </c>
      <c r="L252" s="4">
        <v>573.27800000000002</v>
      </c>
      <c r="M252" s="4">
        <v>573.27800000000002</v>
      </c>
      <c r="N252" s="4">
        <v>573.27800000000002</v>
      </c>
      <c r="O252" s="4">
        <v>573.27800000000002</v>
      </c>
      <c r="P252" s="4">
        <v>3514</v>
      </c>
      <c r="Q252" s="3" t="s">
        <v>26</v>
      </c>
      <c r="R252" s="3">
        <v>0</v>
      </c>
      <c r="S252" s="4">
        <v>0</v>
      </c>
      <c r="T252" s="4">
        <v>6</v>
      </c>
      <c r="U252" s="4">
        <v>32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367.75</v>
      </c>
      <c r="X252" s="4">
        <f>IF(ISERROR(VLOOKUP($U$252,'TAR FIN'!$A$1:$O$85,15,0)),0,VLOOKUP($U$252,'TAR FIN'!$A$1:$O$85,15,0))</f>
        <v>267.91000000000003</v>
      </c>
      <c r="Y252" s="4"/>
      <c r="Z252" s="4">
        <f ca="1">('TUSD BE'!$AM$20+'TUSD BF'!$AM$20+'TUSD CVA'!$AM$20)*1</f>
        <v>437.60278231454038</v>
      </c>
      <c r="AA252" s="4">
        <f>('TE BE'!$AB$10+'TE BF'!$AB$10+'TE CVA'!$AB$10)*1</f>
        <v>185.42082399535556</v>
      </c>
      <c r="AB252" s="4">
        <f>$K$252*$V$252</f>
        <v>0</v>
      </c>
      <c r="AC252" s="4">
        <f>$M$252*$W$252</f>
        <v>210822.98450000002</v>
      </c>
      <c r="AD252" s="4">
        <f>$O$252*$X$252</f>
        <v>153586.90898000001</v>
      </c>
      <c r="AE252" s="4">
        <f>$K$252*$Y$252</f>
        <v>0</v>
      </c>
      <c r="AF252" s="4">
        <f ca="1">$M$252*$Z$252</f>
        <v>250868.04783971509</v>
      </c>
      <c r="AG252" s="4">
        <f>$O$252*$AA$252</f>
        <v>106297.67913840945</v>
      </c>
    </row>
    <row r="253" spans="1:33" ht="11.25" customHeight="1" x14ac:dyDescent="0.25">
      <c r="A253" s="3" t="s">
        <v>27</v>
      </c>
      <c r="B253" s="3" t="s">
        <v>22</v>
      </c>
      <c r="C253" s="3" t="s">
        <v>23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25</v>
      </c>
      <c r="I253" s="6">
        <v>44470</v>
      </c>
      <c r="J253" s="4">
        <v>0</v>
      </c>
      <c r="K253" s="4">
        <v>0</v>
      </c>
      <c r="L253" s="4">
        <v>-0.42</v>
      </c>
      <c r="M253" s="4">
        <v>-0.42</v>
      </c>
      <c r="N253" s="4">
        <v>-0.42</v>
      </c>
      <c r="O253" s="4">
        <v>-0.42</v>
      </c>
      <c r="P253" s="4">
        <v>0</v>
      </c>
      <c r="Q253" s="3" t="s">
        <v>26</v>
      </c>
      <c r="R253" s="3">
        <v>0</v>
      </c>
      <c r="S253" s="4">
        <v>0</v>
      </c>
      <c r="T253" s="4">
        <v>6</v>
      </c>
      <c r="U253" s="4">
        <v>32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367.75</v>
      </c>
      <c r="X253" s="4">
        <f>IF(ISERROR(VLOOKUP($U$253,'TAR FIN'!$A$1:$O$85,15,0)),0,VLOOKUP($U$253,'TAR FIN'!$A$1:$O$85,15,0))</f>
        <v>267.91000000000003</v>
      </c>
      <c r="Y253" s="4"/>
      <c r="Z253" s="4">
        <f ca="1">('TUSD BE'!$AM$20+'TUSD BF'!$AM$20+'TUSD CVA'!$AM$20)*1</f>
        <v>437.60278231454038</v>
      </c>
      <c r="AA253" s="4">
        <f>('TE BE'!$AB$10+'TE BF'!$AB$10+'TE CVA'!$AB$10)*1</f>
        <v>185.42082399535556</v>
      </c>
      <c r="AB253" s="4">
        <f>$K$253*$V$253</f>
        <v>0</v>
      </c>
      <c r="AC253" s="4">
        <f>$M$253*$W$253</f>
        <v>-154.45499999999998</v>
      </c>
      <c r="AD253" s="4">
        <f>$O$253*$X$253</f>
        <v>-112.52220000000001</v>
      </c>
      <c r="AE253" s="4">
        <f>$K$253*$Y$253</f>
        <v>0</v>
      </c>
      <c r="AF253" s="4">
        <f ca="1">$M$253*$Z$253</f>
        <v>-183.79316857210696</v>
      </c>
      <c r="AG253" s="4">
        <f>$O$253*$AA$253</f>
        <v>-77.876746078049337</v>
      </c>
    </row>
    <row r="254" spans="1:33" ht="11.25" customHeight="1" x14ac:dyDescent="0.25">
      <c r="A254" s="3" t="s">
        <v>28</v>
      </c>
      <c r="B254" s="3" t="s">
        <v>22</v>
      </c>
      <c r="C254" s="3" t="s">
        <v>23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25</v>
      </c>
      <c r="I254" s="6">
        <v>44470</v>
      </c>
      <c r="J254" s="4">
        <v>0</v>
      </c>
      <c r="K254" s="4">
        <v>0</v>
      </c>
      <c r="L254" s="4">
        <v>2.004</v>
      </c>
      <c r="M254" s="4">
        <v>2.004</v>
      </c>
      <c r="N254" s="4">
        <v>2.004</v>
      </c>
      <c r="O254" s="4">
        <v>2.004</v>
      </c>
      <c r="P254" s="4">
        <v>15</v>
      </c>
      <c r="Q254" s="3" t="s">
        <v>26</v>
      </c>
      <c r="R254" s="3">
        <v>0</v>
      </c>
      <c r="S254" s="4">
        <v>0</v>
      </c>
      <c r="T254" s="4">
        <v>6</v>
      </c>
      <c r="U254" s="4">
        <v>32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367.75</v>
      </c>
      <c r="X254" s="4">
        <f>IF(ISERROR(VLOOKUP($U$254,'TAR FIN'!$A$1:$O$85,15,0)),0,VLOOKUP($U$254,'TAR FIN'!$A$1:$O$85,15,0))</f>
        <v>267.91000000000003</v>
      </c>
      <c r="Y254" s="4"/>
      <c r="Z254" s="4">
        <f ca="1">('TUSD BE'!$AM$20+'TUSD BF'!$AM$20+'TUSD CVA'!$AM$20)*1</f>
        <v>437.60278231454038</v>
      </c>
      <c r="AA254" s="4">
        <f>('TE BE'!$AB$10+'TE BF'!$AB$10+'TE CVA'!$AB$10)*1</f>
        <v>185.42082399535556</v>
      </c>
      <c r="AB254" s="4">
        <f>$K$254*$V$254</f>
        <v>0</v>
      </c>
      <c r="AC254" s="4">
        <f>$M$254*$W$254</f>
        <v>736.971</v>
      </c>
      <c r="AD254" s="4">
        <f>$O$254*$X$254</f>
        <v>536.89164000000005</v>
      </c>
      <c r="AE254" s="4">
        <f>$K$254*$Y$254</f>
        <v>0</v>
      </c>
      <c r="AF254" s="4">
        <f ca="1">$M$254*$Z$254</f>
        <v>876.95597575833892</v>
      </c>
      <c r="AG254" s="4">
        <f>$O$254*$AA$254</f>
        <v>371.58333128669256</v>
      </c>
    </row>
    <row r="255" spans="1:3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25</v>
      </c>
      <c r="I255" s="6">
        <v>44501</v>
      </c>
      <c r="J255" s="4">
        <v>0</v>
      </c>
      <c r="K255" s="4">
        <v>0</v>
      </c>
      <c r="L255" s="4">
        <v>566.21199999999999</v>
      </c>
      <c r="M255" s="4">
        <v>566.21199999999999</v>
      </c>
      <c r="N255" s="4">
        <v>566.21199999999999</v>
      </c>
      <c r="O255" s="4">
        <v>566.21199999999999</v>
      </c>
      <c r="P255" s="4">
        <v>3523</v>
      </c>
      <c r="Q255" s="3" t="s">
        <v>26</v>
      </c>
      <c r="R255" s="3">
        <v>0</v>
      </c>
      <c r="S255" s="4">
        <v>0</v>
      </c>
      <c r="T255" s="4">
        <v>6</v>
      </c>
      <c r="U255" s="4">
        <v>32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367.75</v>
      </c>
      <c r="X255" s="4">
        <f>IF(ISERROR(VLOOKUP($U$255,'TAR FIN'!$A$1:$O$85,15,0)),0,VLOOKUP($U$255,'TAR FIN'!$A$1:$O$85,15,0))</f>
        <v>267.91000000000003</v>
      </c>
      <c r="Y255" s="4"/>
      <c r="Z255" s="4">
        <f ca="1">('TUSD BE'!$AM$20+'TUSD BF'!$AM$20+'TUSD CVA'!$AM$20)*1</f>
        <v>437.60278231454038</v>
      </c>
      <c r="AA255" s="4">
        <f>('TE BE'!$AB$10+'TE BF'!$AB$10+'TE CVA'!$AB$10)*1</f>
        <v>185.42082399535556</v>
      </c>
      <c r="AB255" s="4">
        <f>$K$255*$V$255</f>
        <v>0</v>
      </c>
      <c r="AC255" s="4">
        <f>$M$255*$W$255</f>
        <v>208224.46299999999</v>
      </c>
      <c r="AD255" s="4">
        <f>$O$255*$X$255</f>
        <v>151693.85692000002</v>
      </c>
      <c r="AE255" s="4">
        <f>$K$255*$Y$255</f>
        <v>0</v>
      </c>
      <c r="AF255" s="4">
        <f ca="1">$M$255*$Z$255</f>
        <v>247775.94657988052</v>
      </c>
      <c r="AG255" s="4">
        <f>$O$255*$AA$255</f>
        <v>104987.49559605826</v>
      </c>
    </row>
    <row r="256" spans="1:33" ht="11.25" customHeight="1" x14ac:dyDescent="0.25">
      <c r="A256" s="3" t="s">
        <v>27</v>
      </c>
      <c r="B256" s="3" t="s">
        <v>22</v>
      </c>
      <c r="C256" s="3" t="s">
        <v>23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25</v>
      </c>
      <c r="I256" s="6">
        <v>44501</v>
      </c>
      <c r="J256" s="4">
        <v>0</v>
      </c>
      <c r="K256" s="4">
        <v>0</v>
      </c>
      <c r="L256" s="4">
        <v>-1.0999999999999999E-2</v>
      </c>
      <c r="M256" s="4">
        <v>-1.0999999999999999E-2</v>
      </c>
      <c r="N256" s="4">
        <v>-1.0999999999999999E-2</v>
      </c>
      <c r="O256" s="4">
        <v>-1.0999999999999999E-2</v>
      </c>
      <c r="P256" s="4">
        <v>0</v>
      </c>
      <c r="Q256" s="3" t="s">
        <v>26</v>
      </c>
      <c r="R256" s="3">
        <v>0</v>
      </c>
      <c r="S256" s="4">
        <v>0</v>
      </c>
      <c r="T256" s="4">
        <v>6</v>
      </c>
      <c r="U256" s="4">
        <v>32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367.75</v>
      </c>
      <c r="X256" s="4">
        <f>IF(ISERROR(VLOOKUP($U$256,'TAR FIN'!$A$1:$O$85,15,0)),0,VLOOKUP($U$256,'TAR FIN'!$A$1:$O$85,15,0))</f>
        <v>267.91000000000003</v>
      </c>
      <c r="Y256" s="4"/>
      <c r="Z256" s="4">
        <f ca="1">('TUSD BE'!$AM$20+'TUSD BF'!$AM$20+'TUSD CVA'!$AM$20)*1</f>
        <v>437.60278231454038</v>
      </c>
      <c r="AA256" s="4">
        <f>('TE BE'!$AB$10+'TE BF'!$AB$10+'TE CVA'!$AB$10)*1</f>
        <v>185.42082399535556</v>
      </c>
      <c r="AB256" s="4">
        <f>$K$256*$V$256</f>
        <v>0</v>
      </c>
      <c r="AC256" s="4">
        <f>$M$256*$W$256</f>
        <v>-4.0452499999999993</v>
      </c>
      <c r="AD256" s="4">
        <f>$O$256*$X$256</f>
        <v>-2.9470100000000001</v>
      </c>
      <c r="AE256" s="4">
        <f>$K$256*$Y$256</f>
        <v>0</v>
      </c>
      <c r="AF256" s="4">
        <f ca="1">$M$256*$Z$256</f>
        <v>-4.8136306054599443</v>
      </c>
      <c r="AG256" s="4">
        <f>$O$256*$AA$256</f>
        <v>-2.0396290639489112</v>
      </c>
    </row>
    <row r="257" spans="1:33" ht="11.25" customHeight="1" x14ac:dyDescent="0.25">
      <c r="A257" s="3" t="s">
        <v>28</v>
      </c>
      <c r="B257" s="3" t="s">
        <v>22</v>
      </c>
      <c r="C257" s="3" t="s">
        <v>23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25</v>
      </c>
      <c r="I257" s="6">
        <v>44501</v>
      </c>
      <c r="J257" s="4">
        <v>0</v>
      </c>
      <c r="K257" s="4">
        <v>0</v>
      </c>
      <c r="L257" s="4">
        <v>1.282</v>
      </c>
      <c r="M257" s="4">
        <v>1.282</v>
      </c>
      <c r="N257" s="4">
        <v>1.282</v>
      </c>
      <c r="O257" s="4">
        <v>1.282</v>
      </c>
      <c r="P257" s="4">
        <v>16</v>
      </c>
      <c r="Q257" s="3" t="s">
        <v>26</v>
      </c>
      <c r="R257" s="3">
        <v>0</v>
      </c>
      <c r="S257" s="4">
        <v>0</v>
      </c>
      <c r="T257" s="4">
        <v>6</v>
      </c>
      <c r="U257" s="4">
        <v>32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367.75</v>
      </c>
      <c r="X257" s="4">
        <f>IF(ISERROR(VLOOKUP($U$257,'TAR FIN'!$A$1:$O$85,15,0)),0,VLOOKUP($U$257,'TAR FIN'!$A$1:$O$85,15,0))</f>
        <v>267.91000000000003</v>
      </c>
      <c r="Y257" s="4"/>
      <c r="Z257" s="4">
        <f ca="1">('TUSD BE'!$AM$20+'TUSD BF'!$AM$20+'TUSD CVA'!$AM$20)*1</f>
        <v>437.60278231454038</v>
      </c>
      <c r="AA257" s="4">
        <f>('TE BE'!$AB$10+'TE BF'!$AB$10+'TE CVA'!$AB$10)*1</f>
        <v>185.42082399535556</v>
      </c>
      <c r="AB257" s="4">
        <f>$K$257*$V$257</f>
        <v>0</v>
      </c>
      <c r="AC257" s="4">
        <f>$M$257*$W$257</f>
        <v>471.45550000000003</v>
      </c>
      <c r="AD257" s="4">
        <f>$O$257*$X$257</f>
        <v>343.46062000000006</v>
      </c>
      <c r="AE257" s="4">
        <f>$K$257*$Y$257</f>
        <v>0</v>
      </c>
      <c r="AF257" s="4">
        <f ca="1">$M$257*$Z$257</f>
        <v>561.00676692724073</v>
      </c>
      <c r="AG257" s="4">
        <f>$O$257*$AA$257</f>
        <v>237.70949636204583</v>
      </c>
    </row>
    <row r="258" spans="1:33" ht="11.25" customHeight="1" x14ac:dyDescent="0.25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25</v>
      </c>
      <c r="I258" s="6">
        <v>44531</v>
      </c>
      <c r="J258" s="4">
        <v>0</v>
      </c>
      <c r="K258" s="4">
        <v>0</v>
      </c>
      <c r="L258" s="4">
        <v>569.40099999999995</v>
      </c>
      <c r="M258" s="4">
        <v>569.40099999999995</v>
      </c>
      <c r="N258" s="4">
        <v>569.40099999999995</v>
      </c>
      <c r="O258" s="4">
        <v>569.40099999999995</v>
      </c>
      <c r="P258" s="4">
        <v>3521</v>
      </c>
      <c r="Q258" s="3" t="s">
        <v>26</v>
      </c>
      <c r="R258" s="3">
        <v>0</v>
      </c>
      <c r="S258" s="4">
        <v>0</v>
      </c>
      <c r="T258" s="4">
        <v>6</v>
      </c>
      <c r="U258" s="4">
        <v>32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367.75</v>
      </c>
      <c r="X258" s="4">
        <f>IF(ISERROR(VLOOKUP($U$258,'TAR FIN'!$A$1:$O$85,15,0)),0,VLOOKUP($U$258,'TAR FIN'!$A$1:$O$85,15,0))</f>
        <v>267.91000000000003</v>
      </c>
      <c r="Y258" s="4"/>
      <c r="Z258" s="4">
        <f ca="1">('TUSD BE'!$AM$20+'TUSD BF'!$AM$20+'TUSD CVA'!$AM$20)*1</f>
        <v>437.60278231454038</v>
      </c>
      <c r="AA258" s="4">
        <f>('TE BE'!$AB$10+'TE BF'!$AB$10+'TE CVA'!$AB$10)*1</f>
        <v>185.42082399535556</v>
      </c>
      <c r="AB258" s="4">
        <f>$K$258*$V$258</f>
        <v>0</v>
      </c>
      <c r="AC258" s="4">
        <f>$M$258*$W$258</f>
        <v>209397.21774999998</v>
      </c>
      <c r="AD258" s="4">
        <f>$O$258*$X$258</f>
        <v>152548.22190999999</v>
      </c>
      <c r="AE258" s="4">
        <f>$K$258*$Y$258</f>
        <v>0</v>
      </c>
      <c r="AF258" s="4">
        <f ca="1">$M$258*$Z$258</f>
        <v>249171.46185268159</v>
      </c>
      <c r="AG258" s="4">
        <f>$O$258*$AA$258</f>
        <v>105578.80260377945</v>
      </c>
    </row>
    <row r="259" spans="1:33" ht="11.25" customHeight="1" x14ac:dyDescent="0.25">
      <c r="A259" s="3" t="s">
        <v>28</v>
      </c>
      <c r="B259" s="3" t="s">
        <v>22</v>
      </c>
      <c r="C259" s="3" t="s">
        <v>23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25</v>
      </c>
      <c r="I259" s="6">
        <v>44531</v>
      </c>
      <c r="J259" s="4">
        <v>0</v>
      </c>
      <c r="K259" s="4">
        <v>0</v>
      </c>
      <c r="L259" s="4">
        <v>1.825</v>
      </c>
      <c r="M259" s="4">
        <v>1.825</v>
      </c>
      <c r="N259" s="4">
        <v>1.825</v>
      </c>
      <c r="O259" s="4">
        <v>1.825</v>
      </c>
      <c r="P259" s="4">
        <v>18</v>
      </c>
      <c r="Q259" s="3" t="s">
        <v>26</v>
      </c>
      <c r="R259" s="3">
        <v>0</v>
      </c>
      <c r="S259" s="4">
        <v>0</v>
      </c>
      <c r="T259" s="4">
        <v>6</v>
      </c>
      <c r="U259" s="4">
        <v>32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367.75</v>
      </c>
      <c r="X259" s="4">
        <f>IF(ISERROR(VLOOKUP($U$259,'TAR FIN'!$A$1:$O$85,15,0)),0,VLOOKUP($U$259,'TAR FIN'!$A$1:$O$85,15,0))</f>
        <v>267.91000000000003</v>
      </c>
      <c r="Y259" s="4"/>
      <c r="Z259" s="4">
        <f ca="1">('TUSD BE'!$AM$20+'TUSD BF'!$AM$20+'TUSD CVA'!$AM$20)*1</f>
        <v>437.60278231454038</v>
      </c>
      <c r="AA259" s="4">
        <f>('TE BE'!$AB$10+'TE BF'!$AB$10+'TE CVA'!$AB$10)*1</f>
        <v>185.42082399535556</v>
      </c>
      <c r="AB259" s="4">
        <f>$K$259*$V$259</f>
        <v>0</v>
      </c>
      <c r="AC259" s="4">
        <f>$M$259*$W$259</f>
        <v>671.14374999999995</v>
      </c>
      <c r="AD259" s="4">
        <f>$O$259*$X$259</f>
        <v>488.93575000000004</v>
      </c>
      <c r="AE259" s="4">
        <f>$K$259*$Y$259</f>
        <v>0</v>
      </c>
      <c r="AF259" s="4">
        <f ca="1">$M$259*$Z$259</f>
        <v>798.62507772403615</v>
      </c>
      <c r="AG259" s="4">
        <f>$O$259*$AA$259</f>
        <v>338.39300379152388</v>
      </c>
    </row>
    <row r="260" spans="1:33" ht="11.25" customHeight="1" x14ac:dyDescent="0.25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44562</v>
      </c>
      <c r="J260" s="4">
        <v>0</v>
      </c>
      <c r="K260" s="4">
        <v>0</v>
      </c>
      <c r="L260" s="4">
        <v>591</v>
      </c>
      <c r="M260" s="4">
        <v>591</v>
      </c>
      <c r="N260" s="4">
        <v>591</v>
      </c>
      <c r="O260" s="4">
        <v>591</v>
      </c>
      <c r="P260" s="4">
        <v>3521</v>
      </c>
      <c r="Q260" s="3" t="s">
        <v>26</v>
      </c>
      <c r="R260" s="3">
        <v>0</v>
      </c>
      <c r="S260" s="4">
        <v>0</v>
      </c>
      <c r="T260" s="4">
        <v>6</v>
      </c>
      <c r="U260" s="4">
        <v>32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367.75</v>
      </c>
      <c r="X260" s="4">
        <f>IF(ISERROR(VLOOKUP($U$260,'TAR FIN'!$A$1:$O$85,15,0)),0,VLOOKUP($U$260,'TAR FIN'!$A$1:$O$85,15,0))</f>
        <v>267.91000000000003</v>
      </c>
      <c r="Y260" s="4"/>
      <c r="Z260" s="4">
        <f ca="1">('TUSD BE'!$AM$20+'TUSD BF'!$AM$20+'TUSD CVA'!$AM$20)*1</f>
        <v>437.60278231454038</v>
      </c>
      <c r="AA260" s="4">
        <f>('TE BE'!$AB$10+'TE BF'!$AB$10+'TE CVA'!$AB$10)*1</f>
        <v>185.42082399535556</v>
      </c>
      <c r="AB260" s="4">
        <f>$K$260*$V$260</f>
        <v>0</v>
      </c>
      <c r="AC260" s="4">
        <f>$M$260*$W$260</f>
        <v>217340.25</v>
      </c>
      <c r="AD260" s="4">
        <f>$O$260*$X$260</f>
        <v>158334.81000000003</v>
      </c>
      <c r="AE260" s="4">
        <f>$K$260*$Y$260</f>
        <v>0</v>
      </c>
      <c r="AF260" s="4">
        <f ca="1">$M$260*$Z$260</f>
        <v>258623.24434789337</v>
      </c>
      <c r="AG260" s="4">
        <f>$O$260*$AA$260</f>
        <v>109583.70698125513</v>
      </c>
    </row>
    <row r="261" spans="1:33" ht="11.25" customHeight="1" x14ac:dyDescent="0.25">
      <c r="A261" s="3" t="s">
        <v>27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44562</v>
      </c>
      <c r="J261" s="4">
        <v>0</v>
      </c>
      <c r="K261" s="4">
        <v>0</v>
      </c>
      <c r="L261" s="4">
        <v>-0.82</v>
      </c>
      <c r="M261" s="4">
        <v>-0.82</v>
      </c>
      <c r="N261" s="4">
        <v>-0.82</v>
      </c>
      <c r="O261" s="4">
        <v>-0.82</v>
      </c>
      <c r="P261" s="4">
        <v>0</v>
      </c>
      <c r="Q261" s="3" t="s">
        <v>26</v>
      </c>
      <c r="R261" s="3">
        <v>0</v>
      </c>
      <c r="S261" s="4">
        <v>0</v>
      </c>
      <c r="T261" s="4">
        <v>6</v>
      </c>
      <c r="U261" s="4">
        <v>32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367.75</v>
      </c>
      <c r="X261" s="4">
        <f>IF(ISERROR(VLOOKUP($U$261,'TAR FIN'!$A$1:$O$85,15,0)),0,VLOOKUP($U$261,'TAR FIN'!$A$1:$O$85,15,0))</f>
        <v>267.91000000000003</v>
      </c>
      <c r="Y261" s="4"/>
      <c r="Z261" s="4">
        <f ca="1">('TUSD BE'!$AM$20+'TUSD BF'!$AM$20+'TUSD CVA'!$AM$20)*1</f>
        <v>437.60278231454038</v>
      </c>
      <c r="AA261" s="4">
        <f>('TE BE'!$AB$10+'TE BF'!$AB$10+'TE CVA'!$AB$10)*1</f>
        <v>185.42082399535556</v>
      </c>
      <c r="AB261" s="4">
        <f>$K$261*$V$261</f>
        <v>0</v>
      </c>
      <c r="AC261" s="4">
        <f>$M$261*$W$261</f>
        <v>-301.55500000000001</v>
      </c>
      <c r="AD261" s="4">
        <f>$O$261*$X$261</f>
        <v>-219.68620000000001</v>
      </c>
      <c r="AE261" s="4">
        <f>$K$261*$Y$261</f>
        <v>0</v>
      </c>
      <c r="AF261" s="4">
        <f ca="1">$M$261*$Z$261</f>
        <v>-358.83428149792309</v>
      </c>
      <c r="AG261" s="4">
        <f>$O$261*$AA$261</f>
        <v>-152.04507567619154</v>
      </c>
    </row>
    <row r="262" spans="1:33" ht="11.25" customHeight="1" x14ac:dyDescent="0.25">
      <c r="A262" s="3" t="s">
        <v>28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44562</v>
      </c>
      <c r="J262" s="4">
        <v>0</v>
      </c>
      <c r="K262" s="4">
        <v>0</v>
      </c>
      <c r="L262" s="4">
        <v>2.2000000000000002</v>
      </c>
      <c r="M262" s="4">
        <v>2.2000000000000002</v>
      </c>
      <c r="N262" s="4">
        <v>2.2000000000000002</v>
      </c>
      <c r="O262" s="4">
        <v>2.2000000000000002</v>
      </c>
      <c r="P262" s="4">
        <v>19</v>
      </c>
      <c r="Q262" s="3" t="s">
        <v>26</v>
      </c>
      <c r="R262" s="3">
        <v>0</v>
      </c>
      <c r="S262" s="4">
        <v>0</v>
      </c>
      <c r="T262" s="4">
        <v>6</v>
      </c>
      <c r="U262" s="4">
        <v>32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367.75</v>
      </c>
      <c r="X262" s="4">
        <f>IF(ISERROR(VLOOKUP($U$262,'TAR FIN'!$A$1:$O$85,15,0)),0,VLOOKUP($U$262,'TAR FIN'!$A$1:$O$85,15,0))</f>
        <v>267.91000000000003</v>
      </c>
      <c r="Y262" s="4"/>
      <c r="Z262" s="4">
        <f ca="1">('TUSD BE'!$AM$20+'TUSD BF'!$AM$20+'TUSD CVA'!$AM$20)*1</f>
        <v>437.60278231454038</v>
      </c>
      <c r="AA262" s="4">
        <f>('TE BE'!$AB$10+'TE BF'!$AB$10+'TE CVA'!$AB$10)*1</f>
        <v>185.42082399535556</v>
      </c>
      <c r="AB262" s="4">
        <f>$K$262*$V$262</f>
        <v>0</v>
      </c>
      <c r="AC262" s="4">
        <f>$M$262*$W$262</f>
        <v>809.05000000000007</v>
      </c>
      <c r="AD262" s="4">
        <f>$O$262*$X$262</f>
        <v>589.40200000000016</v>
      </c>
      <c r="AE262" s="4">
        <f>$K$262*$Y$262</f>
        <v>0</v>
      </c>
      <c r="AF262" s="4">
        <f ca="1">$M$262*$Z$262</f>
        <v>962.72612109198894</v>
      </c>
      <c r="AG262" s="4">
        <f>$O$262*$AA$262</f>
        <v>407.92581278978224</v>
      </c>
    </row>
    <row r="263" spans="1:3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25</v>
      </c>
      <c r="I263" s="6">
        <v>44593</v>
      </c>
      <c r="J263" s="4">
        <v>0</v>
      </c>
      <c r="K263" s="4">
        <v>0</v>
      </c>
      <c r="L263" s="4">
        <v>587.12</v>
      </c>
      <c r="M263" s="4">
        <v>587.12</v>
      </c>
      <c r="N263" s="4">
        <v>587.12</v>
      </c>
      <c r="O263" s="4">
        <v>587.12</v>
      </c>
      <c r="P263" s="4">
        <v>3500</v>
      </c>
      <c r="Q263" s="3" t="s">
        <v>26</v>
      </c>
      <c r="R263" s="3">
        <v>0</v>
      </c>
      <c r="S263" s="4">
        <v>0</v>
      </c>
      <c r="T263" s="4">
        <v>6</v>
      </c>
      <c r="U263" s="4">
        <v>32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367.75</v>
      </c>
      <c r="X263" s="4">
        <f>IF(ISERROR(VLOOKUP($U$263,'TAR FIN'!$A$1:$O$85,15,0)),0,VLOOKUP($U$263,'TAR FIN'!$A$1:$O$85,15,0))</f>
        <v>267.91000000000003</v>
      </c>
      <c r="Y263" s="4"/>
      <c r="Z263" s="4">
        <f ca="1">('TUSD BE'!$AM$20+'TUSD BF'!$AM$20+'TUSD CVA'!$AM$20)*1</f>
        <v>437.60278231454038</v>
      </c>
      <c r="AA263" s="4">
        <f>('TE BE'!$AB$10+'TE BF'!$AB$10+'TE CVA'!$AB$10)*1</f>
        <v>185.42082399535556</v>
      </c>
      <c r="AB263" s="4">
        <f>$K$263*$V$263</f>
        <v>0</v>
      </c>
      <c r="AC263" s="4">
        <f>$M$263*$W$263</f>
        <v>215913.38</v>
      </c>
      <c r="AD263" s="4">
        <f>$O$263*$X$263</f>
        <v>157295.31920000003</v>
      </c>
      <c r="AE263" s="4">
        <f>$K$263*$Y$263</f>
        <v>0</v>
      </c>
      <c r="AF263" s="4">
        <f ca="1">$M$263*$Z$263</f>
        <v>256925.34555251294</v>
      </c>
      <c r="AG263" s="4">
        <f>$O$263*$AA$263</f>
        <v>108864.27418415315</v>
      </c>
    </row>
    <row r="264" spans="1:33" ht="11.25" customHeight="1" x14ac:dyDescent="0.25">
      <c r="A264" s="3" t="s">
        <v>27</v>
      </c>
      <c r="B264" s="3" t="s">
        <v>22</v>
      </c>
      <c r="C264" s="3" t="s">
        <v>23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25</v>
      </c>
      <c r="I264" s="6">
        <v>44593</v>
      </c>
      <c r="J264" s="4">
        <v>0</v>
      </c>
      <c r="K264" s="4">
        <v>0</v>
      </c>
      <c r="L264" s="4">
        <v>-9.5000000000000001E-2</v>
      </c>
      <c r="M264" s="4">
        <v>-9.5000000000000001E-2</v>
      </c>
      <c r="N264" s="4">
        <v>-9.5000000000000001E-2</v>
      </c>
      <c r="O264" s="4">
        <v>-9.5000000000000001E-2</v>
      </c>
      <c r="P264" s="4">
        <v>0</v>
      </c>
      <c r="Q264" s="3" t="s">
        <v>26</v>
      </c>
      <c r="R264" s="3">
        <v>0</v>
      </c>
      <c r="S264" s="4">
        <v>0</v>
      </c>
      <c r="T264" s="4">
        <v>6</v>
      </c>
      <c r="U264" s="4">
        <v>32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367.75</v>
      </c>
      <c r="X264" s="4">
        <f>IF(ISERROR(VLOOKUP($U$264,'TAR FIN'!$A$1:$O$85,15,0)),0,VLOOKUP($U$264,'TAR FIN'!$A$1:$O$85,15,0))</f>
        <v>267.91000000000003</v>
      </c>
      <c r="Y264" s="4"/>
      <c r="Z264" s="4">
        <f ca="1">('TUSD BE'!$AM$20+'TUSD BF'!$AM$20+'TUSD CVA'!$AM$20)*1</f>
        <v>437.60278231454038</v>
      </c>
      <c r="AA264" s="4">
        <f>('TE BE'!$AB$10+'TE BF'!$AB$10+'TE CVA'!$AB$10)*1</f>
        <v>185.42082399535556</v>
      </c>
      <c r="AB264" s="4">
        <f>$K$264*$V$264</f>
        <v>0</v>
      </c>
      <c r="AC264" s="4">
        <f>$M$264*$W$264</f>
        <v>-34.936250000000001</v>
      </c>
      <c r="AD264" s="4">
        <f>$O$264*$X$264</f>
        <v>-25.451450000000001</v>
      </c>
      <c r="AE264" s="4">
        <f>$K$264*$Y$264</f>
        <v>0</v>
      </c>
      <c r="AF264" s="4">
        <f ca="1">$M$264*$Z$264</f>
        <v>-41.572264319881334</v>
      </c>
      <c r="AG264" s="4">
        <f>$O$264*$AA$264</f>
        <v>-17.614978279558777</v>
      </c>
    </row>
    <row r="265" spans="1:33" ht="11.25" customHeight="1" x14ac:dyDescent="0.25">
      <c r="A265" s="3" t="s">
        <v>28</v>
      </c>
      <c r="B265" s="3" t="s">
        <v>22</v>
      </c>
      <c r="C265" s="3" t="s">
        <v>23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25</v>
      </c>
      <c r="I265" s="6">
        <v>44593</v>
      </c>
      <c r="J265" s="4">
        <v>0</v>
      </c>
      <c r="K265" s="4">
        <v>0</v>
      </c>
      <c r="L265" s="4">
        <v>2.855</v>
      </c>
      <c r="M265" s="4">
        <v>2.855</v>
      </c>
      <c r="N265" s="4">
        <v>2.855</v>
      </c>
      <c r="O265" s="4">
        <v>2.855</v>
      </c>
      <c r="P265" s="4">
        <v>22</v>
      </c>
      <c r="Q265" s="3" t="s">
        <v>26</v>
      </c>
      <c r="R265" s="3">
        <v>0</v>
      </c>
      <c r="S265" s="4">
        <v>0</v>
      </c>
      <c r="T265" s="4">
        <v>6</v>
      </c>
      <c r="U265" s="4">
        <v>32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367.75</v>
      </c>
      <c r="X265" s="4">
        <f>IF(ISERROR(VLOOKUP($U$265,'TAR FIN'!$A$1:$O$85,15,0)),0,VLOOKUP($U$265,'TAR FIN'!$A$1:$O$85,15,0))</f>
        <v>267.91000000000003</v>
      </c>
      <c r="Y265" s="4"/>
      <c r="Z265" s="4">
        <f ca="1">('TUSD BE'!$AM$20+'TUSD BF'!$AM$20+'TUSD CVA'!$AM$20)*1</f>
        <v>437.60278231454038</v>
      </c>
      <c r="AA265" s="4">
        <f>('TE BE'!$AB$10+'TE BF'!$AB$10+'TE CVA'!$AB$10)*1</f>
        <v>185.42082399535556</v>
      </c>
      <c r="AB265" s="4">
        <f>$K$265*$V$265</f>
        <v>0</v>
      </c>
      <c r="AC265" s="4">
        <f>$M$265*$W$265</f>
        <v>1049.92625</v>
      </c>
      <c r="AD265" s="4">
        <f>$O$265*$X$265</f>
        <v>764.88305000000003</v>
      </c>
      <c r="AE265" s="4">
        <f>$K$265*$Y$265</f>
        <v>0</v>
      </c>
      <c r="AF265" s="4">
        <f ca="1">$M$265*$Z$265</f>
        <v>1249.3559435080128</v>
      </c>
      <c r="AG265" s="4">
        <f>$O$265*$AA$265</f>
        <v>529.37645250674018</v>
      </c>
    </row>
    <row r="266" spans="1:3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25</v>
      </c>
      <c r="I266" s="6">
        <v>44621</v>
      </c>
      <c r="J266" s="4">
        <v>0</v>
      </c>
      <c r="K266" s="4">
        <v>0</v>
      </c>
      <c r="L266" s="4">
        <v>587.88</v>
      </c>
      <c r="M266" s="4">
        <v>587.88</v>
      </c>
      <c r="N266" s="4">
        <v>587.88</v>
      </c>
      <c r="O266" s="4">
        <v>587.88</v>
      </c>
      <c r="P266" s="4">
        <v>3465</v>
      </c>
      <c r="Q266" s="3" t="s">
        <v>26</v>
      </c>
      <c r="R266" s="3">
        <v>0</v>
      </c>
      <c r="S266" s="4">
        <v>0</v>
      </c>
      <c r="T266" s="4">
        <v>6</v>
      </c>
      <c r="U266" s="4">
        <v>32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367.75</v>
      </c>
      <c r="X266" s="4">
        <f>IF(ISERROR(VLOOKUP($U$266,'TAR FIN'!$A$1:$O$85,15,0)),0,VLOOKUP($U$266,'TAR FIN'!$A$1:$O$85,15,0))</f>
        <v>267.91000000000003</v>
      </c>
      <c r="Y266" s="4"/>
      <c r="Z266" s="4">
        <f ca="1">('TUSD BE'!$AM$20+'TUSD BF'!$AM$20+'TUSD CVA'!$AM$20)*1</f>
        <v>437.60278231454038</v>
      </c>
      <c r="AA266" s="4">
        <f>('TE BE'!$AB$10+'TE BF'!$AB$10+'TE CVA'!$AB$10)*1</f>
        <v>185.42082399535556</v>
      </c>
      <c r="AB266" s="4">
        <f>$K$266*$V$266</f>
        <v>0</v>
      </c>
      <c r="AC266" s="4">
        <f>$M$266*$W$266</f>
        <v>216192.87</v>
      </c>
      <c r="AD266" s="4">
        <f>$O$266*$X$266</f>
        <v>157498.9308</v>
      </c>
      <c r="AE266" s="4">
        <f>$K$266*$Y$266</f>
        <v>0</v>
      </c>
      <c r="AF266" s="4">
        <f ca="1">$M$266*$Z$266</f>
        <v>257257.923667072</v>
      </c>
      <c r="AG266" s="4">
        <f>$O$266*$AA$266</f>
        <v>109005.19401038963</v>
      </c>
    </row>
    <row r="267" spans="1:33" ht="11.25" customHeight="1" x14ac:dyDescent="0.25">
      <c r="A267" s="3" t="s">
        <v>28</v>
      </c>
      <c r="B267" s="3" t="s">
        <v>22</v>
      </c>
      <c r="C267" s="3" t="s">
        <v>23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25</v>
      </c>
      <c r="I267" s="6">
        <v>44621</v>
      </c>
      <c r="J267" s="4">
        <v>0</v>
      </c>
      <c r="K267" s="4">
        <v>0</v>
      </c>
      <c r="L267" s="4">
        <v>3.3079999999999998</v>
      </c>
      <c r="M267" s="4">
        <v>3.3079999999999998</v>
      </c>
      <c r="N267" s="4">
        <v>3.3079999999999998</v>
      </c>
      <c r="O267" s="4">
        <v>3.3079999999999998</v>
      </c>
      <c r="P267" s="4">
        <v>25</v>
      </c>
      <c r="Q267" s="3" t="s">
        <v>26</v>
      </c>
      <c r="R267" s="3">
        <v>0</v>
      </c>
      <c r="S267" s="4">
        <v>0</v>
      </c>
      <c r="T267" s="4">
        <v>6</v>
      </c>
      <c r="U267" s="4">
        <v>32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367.75</v>
      </c>
      <c r="X267" s="4">
        <f>IF(ISERROR(VLOOKUP($U$267,'TAR FIN'!$A$1:$O$85,15,0)),0,VLOOKUP($U$267,'TAR FIN'!$A$1:$O$85,15,0))</f>
        <v>267.91000000000003</v>
      </c>
      <c r="Y267" s="4"/>
      <c r="Z267" s="4">
        <f ca="1">('TUSD BE'!$AM$20+'TUSD BF'!$AM$20+'TUSD CVA'!$AM$20)*1</f>
        <v>437.60278231454038</v>
      </c>
      <c r="AA267" s="4">
        <f>('TE BE'!$AB$10+'TE BF'!$AB$10+'TE CVA'!$AB$10)*1</f>
        <v>185.42082399535556</v>
      </c>
      <c r="AB267" s="4">
        <f>$K$267*$V$267</f>
        <v>0</v>
      </c>
      <c r="AC267" s="4">
        <f>$M$267*$W$267</f>
        <v>1216.5169999999998</v>
      </c>
      <c r="AD267" s="4">
        <f>$O$267*$X$267</f>
        <v>886.24628000000007</v>
      </c>
      <c r="AE267" s="4">
        <f>$K$267*$Y$267</f>
        <v>0</v>
      </c>
      <c r="AF267" s="4">
        <f ca="1">$M$267*$Z$267</f>
        <v>1447.5900038964994</v>
      </c>
      <c r="AG267" s="4">
        <f>$O$267*$AA$267</f>
        <v>613.37208577663614</v>
      </c>
    </row>
    <row r="268" spans="1:3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25</v>
      </c>
      <c r="I268" s="6">
        <v>44652</v>
      </c>
      <c r="J268" s="4">
        <v>0</v>
      </c>
      <c r="K268" s="4">
        <v>0</v>
      </c>
      <c r="L268" s="4">
        <v>572.44100000000003</v>
      </c>
      <c r="M268" s="4">
        <v>572.44100000000003</v>
      </c>
      <c r="N268" s="4">
        <v>572.44100000000003</v>
      </c>
      <c r="O268" s="4">
        <v>572.44100000000003</v>
      </c>
      <c r="P268" s="4">
        <v>3465</v>
      </c>
      <c r="Q268" s="3" t="s">
        <v>26</v>
      </c>
      <c r="R268" s="3">
        <v>0</v>
      </c>
      <c r="S268" s="4">
        <v>0</v>
      </c>
      <c r="T268" s="4">
        <v>6</v>
      </c>
      <c r="U268" s="4">
        <v>32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367.75</v>
      </c>
      <c r="X268" s="4">
        <f>IF(ISERROR(VLOOKUP($U$268,'TAR FIN'!$A$1:$O$85,15,0)),0,VLOOKUP($U$268,'TAR FIN'!$A$1:$O$85,15,0))</f>
        <v>267.91000000000003</v>
      </c>
      <c r="Y268" s="4"/>
      <c r="Z268" s="4">
        <f ca="1">('TUSD BE'!$AM$20+'TUSD BF'!$AM$20+'TUSD CVA'!$AM$20)*1</f>
        <v>437.60278231454038</v>
      </c>
      <c r="AA268" s="4">
        <f>('TE BE'!$AB$10+'TE BF'!$AB$10+'TE CVA'!$AB$10)*1</f>
        <v>185.42082399535556</v>
      </c>
      <c r="AB268" s="4">
        <f>$K$268*$V$268</f>
        <v>0</v>
      </c>
      <c r="AC268" s="4">
        <f>$M$268*$W$268</f>
        <v>210515.17775</v>
      </c>
      <c r="AD268" s="4">
        <f>$O$268*$X$268</f>
        <v>153362.66831000001</v>
      </c>
      <c r="AE268" s="4">
        <f>$K$268*$Y$268</f>
        <v>0</v>
      </c>
      <c r="AF268" s="4">
        <f ca="1">$M$268*$Z$268</f>
        <v>250501.77431091783</v>
      </c>
      <c r="AG268" s="4">
        <f>$O$268*$AA$268</f>
        <v>106142.48190872534</v>
      </c>
    </row>
    <row r="269" spans="1:33" ht="11.25" customHeight="1" x14ac:dyDescent="0.25">
      <c r="A269" s="3" t="s">
        <v>27</v>
      </c>
      <c r="B269" s="3" t="s">
        <v>22</v>
      </c>
      <c r="C269" s="3" t="s">
        <v>23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25</v>
      </c>
      <c r="I269" s="6">
        <v>44652</v>
      </c>
      <c r="J269" s="4">
        <v>0</v>
      </c>
      <c r="K269" s="4">
        <v>0</v>
      </c>
      <c r="L269" s="4">
        <v>-0.88200000000000001</v>
      </c>
      <c r="M269" s="4">
        <v>-0.88200000000000001</v>
      </c>
      <c r="N269" s="4">
        <v>-0.88200000000000001</v>
      </c>
      <c r="O269" s="4">
        <v>-0.88200000000000001</v>
      </c>
      <c r="P269" s="4">
        <v>0</v>
      </c>
      <c r="Q269" s="3" t="s">
        <v>26</v>
      </c>
      <c r="R269" s="3">
        <v>0</v>
      </c>
      <c r="S269" s="4">
        <v>0</v>
      </c>
      <c r="T269" s="4">
        <v>6</v>
      </c>
      <c r="U269" s="4">
        <v>32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367.75</v>
      </c>
      <c r="X269" s="4">
        <f>IF(ISERROR(VLOOKUP($U$269,'TAR FIN'!$A$1:$O$85,15,0)),0,VLOOKUP($U$269,'TAR FIN'!$A$1:$O$85,15,0))</f>
        <v>267.91000000000003</v>
      </c>
      <c r="Y269" s="4"/>
      <c r="Z269" s="4">
        <f ca="1">('TUSD BE'!$AM$20+'TUSD BF'!$AM$20+'TUSD CVA'!$AM$20)*1</f>
        <v>437.60278231454038</v>
      </c>
      <c r="AA269" s="4">
        <f>('TE BE'!$AB$10+'TE BF'!$AB$10+'TE CVA'!$AB$10)*1</f>
        <v>185.42082399535556</v>
      </c>
      <c r="AB269" s="4">
        <f>$K$269*$V$269</f>
        <v>0</v>
      </c>
      <c r="AC269" s="4">
        <f>$M$269*$W$269</f>
        <v>-324.35550000000001</v>
      </c>
      <c r="AD269" s="4">
        <f>$O$269*$X$269</f>
        <v>-236.29662000000002</v>
      </c>
      <c r="AE269" s="4">
        <f>$K$269*$Y$269</f>
        <v>0</v>
      </c>
      <c r="AF269" s="4">
        <f ca="1">$M$269*$Z$269</f>
        <v>-385.96565400142464</v>
      </c>
      <c r="AG269" s="4">
        <f>$O$269*$AA$269</f>
        <v>-163.54116676390362</v>
      </c>
    </row>
    <row r="270" spans="1:33" ht="11.25" customHeight="1" x14ac:dyDescent="0.25">
      <c r="A270" s="3" t="s">
        <v>28</v>
      </c>
      <c r="B270" s="3" t="s">
        <v>22</v>
      </c>
      <c r="C270" s="3" t="s">
        <v>23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25</v>
      </c>
      <c r="I270" s="6">
        <v>44652</v>
      </c>
      <c r="J270" s="4">
        <v>0</v>
      </c>
      <c r="K270" s="4">
        <v>0</v>
      </c>
      <c r="L270" s="4">
        <v>2.968</v>
      </c>
      <c r="M270" s="4">
        <v>2.968</v>
      </c>
      <c r="N270" s="4">
        <v>2.968</v>
      </c>
      <c r="O270" s="4">
        <v>2.968</v>
      </c>
      <c r="P270" s="4">
        <v>26</v>
      </c>
      <c r="Q270" s="3" t="s">
        <v>26</v>
      </c>
      <c r="R270" s="3">
        <v>0</v>
      </c>
      <c r="S270" s="4">
        <v>0</v>
      </c>
      <c r="T270" s="4">
        <v>6</v>
      </c>
      <c r="U270" s="4">
        <v>32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367.75</v>
      </c>
      <c r="X270" s="4">
        <f>IF(ISERROR(VLOOKUP($U$270,'TAR FIN'!$A$1:$O$85,15,0)),0,VLOOKUP($U$270,'TAR FIN'!$A$1:$O$85,15,0))</f>
        <v>267.91000000000003</v>
      </c>
      <c r="Y270" s="4"/>
      <c r="Z270" s="4">
        <f ca="1">('TUSD BE'!$AM$20+'TUSD BF'!$AM$20+'TUSD CVA'!$AM$20)*1</f>
        <v>437.60278231454038</v>
      </c>
      <c r="AA270" s="4">
        <f>('TE BE'!$AB$10+'TE BF'!$AB$10+'TE CVA'!$AB$10)*1</f>
        <v>185.42082399535556</v>
      </c>
      <c r="AB270" s="4">
        <f>$K$270*$V$270</f>
        <v>0</v>
      </c>
      <c r="AC270" s="4">
        <f>$M$270*$W$270</f>
        <v>1091.482</v>
      </c>
      <c r="AD270" s="4">
        <f>$O$270*$X$270</f>
        <v>795.15688000000011</v>
      </c>
      <c r="AE270" s="4">
        <f>$K$270*$Y$270</f>
        <v>0</v>
      </c>
      <c r="AF270" s="4">
        <f ca="1">$M$270*$Z$270</f>
        <v>1298.8050579095559</v>
      </c>
      <c r="AG270" s="4">
        <f>$O$270*$AA$270</f>
        <v>550.32900561821532</v>
      </c>
    </row>
    <row r="271" spans="1:3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24</v>
      </c>
      <c r="F271" s="3" t="s">
        <v>25</v>
      </c>
      <c r="G271" s="3" t="s">
        <v>25</v>
      </c>
      <c r="H271" s="3" t="s">
        <v>25</v>
      </c>
      <c r="I271" s="6">
        <v>44682</v>
      </c>
      <c r="J271" s="4">
        <v>0</v>
      </c>
      <c r="K271" s="4">
        <v>0</v>
      </c>
      <c r="L271" s="4">
        <v>550.36400000000003</v>
      </c>
      <c r="M271" s="4">
        <v>550.36400000000003</v>
      </c>
      <c r="N271" s="4">
        <v>550.36400000000003</v>
      </c>
      <c r="O271" s="4">
        <v>550.36400000000003</v>
      </c>
      <c r="P271" s="4">
        <v>3461</v>
      </c>
      <c r="Q271" s="3" t="s">
        <v>26</v>
      </c>
      <c r="R271" s="3">
        <v>0</v>
      </c>
      <c r="S271" s="4">
        <v>0</v>
      </c>
      <c r="T271" s="4">
        <v>6</v>
      </c>
      <c r="U271" s="4">
        <v>32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367.75</v>
      </c>
      <c r="X271" s="4">
        <f>IF(ISERROR(VLOOKUP($U$271,'TAR FIN'!$A$1:$O$85,15,0)),0,VLOOKUP($U$271,'TAR FIN'!$A$1:$O$85,15,0))</f>
        <v>267.91000000000003</v>
      </c>
      <c r="Y271" s="4"/>
      <c r="Z271" s="4">
        <f ca="1">('TUSD BE'!$AM$20+'TUSD BF'!$AM$20+'TUSD CVA'!$AM$20)*1</f>
        <v>437.60278231454038</v>
      </c>
      <c r="AA271" s="4">
        <f>('TE BE'!$AB$10+'TE BF'!$AB$10+'TE CVA'!$AB$10)*1</f>
        <v>185.42082399535556</v>
      </c>
      <c r="AB271" s="4">
        <f>$K$271*$V$271</f>
        <v>0</v>
      </c>
      <c r="AC271" s="4">
        <f>$M$271*$W$271</f>
        <v>202396.361</v>
      </c>
      <c r="AD271" s="4">
        <f>$O$271*$X$271</f>
        <v>147448.01924000002</v>
      </c>
      <c r="AE271" s="4">
        <f>$K$271*$Y$271</f>
        <v>0</v>
      </c>
      <c r="AF271" s="4">
        <f ca="1">$M$271*$Z$271</f>
        <v>240840.81768575971</v>
      </c>
      <c r="AG271" s="4">
        <f>$O$271*$AA$271</f>
        <v>102048.94637737988</v>
      </c>
    </row>
    <row r="272" spans="1:33" ht="11.25" customHeight="1" x14ac:dyDescent="0.25">
      <c r="A272" s="3" t="s">
        <v>27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44682</v>
      </c>
      <c r="J272" s="4">
        <v>0</v>
      </c>
      <c r="K272" s="4">
        <v>0</v>
      </c>
      <c r="L272" s="4">
        <v>-0.254</v>
      </c>
      <c r="M272" s="4">
        <v>-0.254</v>
      </c>
      <c r="N272" s="4">
        <v>-0.254</v>
      </c>
      <c r="O272" s="4">
        <v>-0.254</v>
      </c>
      <c r="P272" s="4">
        <v>0</v>
      </c>
      <c r="Q272" s="3" t="s">
        <v>26</v>
      </c>
      <c r="R272" s="3">
        <v>0</v>
      </c>
      <c r="S272" s="4">
        <v>0</v>
      </c>
      <c r="T272" s="4">
        <v>6</v>
      </c>
      <c r="U272" s="4">
        <v>32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367.75</v>
      </c>
      <c r="X272" s="4">
        <f>IF(ISERROR(VLOOKUP($U$272,'TAR FIN'!$A$1:$O$85,15,0)),0,VLOOKUP($U$272,'TAR FIN'!$A$1:$O$85,15,0))</f>
        <v>267.91000000000003</v>
      </c>
      <c r="Y272" s="4"/>
      <c r="Z272" s="4">
        <f ca="1">('TUSD BE'!$AM$20+'TUSD BF'!$AM$20+'TUSD CVA'!$AM$20)*1</f>
        <v>437.60278231454038</v>
      </c>
      <c r="AA272" s="4">
        <f>('TE BE'!$AB$10+'TE BF'!$AB$10+'TE CVA'!$AB$10)*1</f>
        <v>185.42082399535556</v>
      </c>
      <c r="AB272" s="4">
        <f>$K$272*$V$272</f>
        <v>0</v>
      </c>
      <c r="AC272" s="4">
        <f>$M$272*$W$272</f>
        <v>-93.408500000000004</v>
      </c>
      <c r="AD272" s="4">
        <f>$O$272*$X$272</f>
        <v>-68.049140000000008</v>
      </c>
      <c r="AE272" s="4">
        <f>$K$272*$Y$272</f>
        <v>0</v>
      </c>
      <c r="AF272" s="4">
        <f ca="1">$M$272*$Z$272</f>
        <v>-111.15110670789326</v>
      </c>
      <c r="AG272" s="4">
        <f>$O$272*$AA$272</f>
        <v>-47.096889294820315</v>
      </c>
    </row>
    <row r="273" spans="1:33" ht="11.25" customHeight="1" x14ac:dyDescent="0.25">
      <c r="A273" s="3" t="s">
        <v>28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44682</v>
      </c>
      <c r="J273" s="4">
        <v>0</v>
      </c>
      <c r="K273" s="4">
        <v>0</v>
      </c>
      <c r="L273" s="4">
        <v>2.6480000000000001</v>
      </c>
      <c r="M273" s="4">
        <v>2.6480000000000001</v>
      </c>
      <c r="N273" s="4">
        <v>2.6480000000000001</v>
      </c>
      <c r="O273" s="4">
        <v>2.6480000000000001</v>
      </c>
      <c r="P273" s="4">
        <v>28</v>
      </c>
      <c r="Q273" s="3" t="s">
        <v>26</v>
      </c>
      <c r="R273" s="3">
        <v>0</v>
      </c>
      <c r="S273" s="4">
        <v>0</v>
      </c>
      <c r="T273" s="4">
        <v>6</v>
      </c>
      <c r="U273" s="4">
        <v>32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367.75</v>
      </c>
      <c r="X273" s="4">
        <f>IF(ISERROR(VLOOKUP($U$273,'TAR FIN'!$A$1:$O$85,15,0)),0,VLOOKUP($U$273,'TAR FIN'!$A$1:$O$85,15,0))</f>
        <v>267.91000000000003</v>
      </c>
      <c r="Y273" s="4"/>
      <c r="Z273" s="4">
        <f ca="1">('TUSD BE'!$AM$20+'TUSD BF'!$AM$20+'TUSD CVA'!$AM$20)*1</f>
        <v>437.60278231454038</v>
      </c>
      <c r="AA273" s="4">
        <f>('TE BE'!$AB$10+'TE BF'!$AB$10+'TE CVA'!$AB$10)*1</f>
        <v>185.42082399535556</v>
      </c>
      <c r="AB273" s="4">
        <f>$K$273*$V$273</f>
        <v>0</v>
      </c>
      <c r="AC273" s="4">
        <f>$M$273*$W$273</f>
        <v>973.80200000000002</v>
      </c>
      <c r="AD273" s="4">
        <f>$O$273*$X$273</f>
        <v>709.42568000000006</v>
      </c>
      <c r="AE273" s="4">
        <f>$K$273*$Y$273</f>
        <v>0</v>
      </c>
      <c r="AF273" s="4">
        <f ca="1">$M$273*$Z$273</f>
        <v>1158.7721675689029</v>
      </c>
      <c r="AG273" s="4">
        <f>$O$273*$AA$273</f>
        <v>490.99434193970154</v>
      </c>
    </row>
    <row r="274" spans="1:3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44713</v>
      </c>
      <c r="J274" s="4">
        <v>0</v>
      </c>
      <c r="K274" s="4">
        <v>0</v>
      </c>
      <c r="L274" s="4">
        <v>521.66600000000005</v>
      </c>
      <c r="M274" s="4">
        <v>521.66600000000005</v>
      </c>
      <c r="N274" s="4">
        <v>521.66600000000005</v>
      </c>
      <c r="O274" s="4">
        <v>521.66600000000005</v>
      </c>
      <c r="P274" s="4">
        <v>3478</v>
      </c>
      <c r="Q274" s="3" t="s">
        <v>26</v>
      </c>
      <c r="R274" s="3">
        <v>0</v>
      </c>
      <c r="S274" s="4">
        <v>0</v>
      </c>
      <c r="T274" s="4">
        <v>6</v>
      </c>
      <c r="U274" s="4">
        <v>32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367.75</v>
      </c>
      <c r="X274" s="4">
        <f>IF(ISERROR(VLOOKUP($U$274,'TAR FIN'!$A$1:$O$85,15,0)),0,VLOOKUP($U$274,'TAR FIN'!$A$1:$O$85,15,0))</f>
        <v>267.91000000000003</v>
      </c>
      <c r="Y274" s="4"/>
      <c r="Z274" s="4">
        <f ca="1">('TUSD BE'!$AM$20+'TUSD BF'!$AM$20+'TUSD CVA'!$AM$20)*1</f>
        <v>437.60278231454038</v>
      </c>
      <c r="AA274" s="4">
        <f>('TE BE'!$AB$10+'TE BF'!$AB$10+'TE CVA'!$AB$10)*1</f>
        <v>185.42082399535556</v>
      </c>
      <c r="AB274" s="4">
        <f>$K$274*$V$274</f>
        <v>0</v>
      </c>
      <c r="AC274" s="4">
        <f>$M$274*$W$274</f>
        <v>191842.67150000003</v>
      </c>
      <c r="AD274" s="4">
        <f>$O$274*$X$274</f>
        <v>139759.53806000002</v>
      </c>
      <c r="AE274" s="4">
        <f>$K$274*$Y$274</f>
        <v>0</v>
      </c>
      <c r="AF274" s="4">
        <f ca="1">$M$274*$Z$274</f>
        <v>228282.49303889705</v>
      </c>
      <c r="AG274" s="4">
        <f>$O$274*$AA$274</f>
        <v>96727.739570361169</v>
      </c>
    </row>
    <row r="275" spans="1:33" ht="11.25" customHeight="1" x14ac:dyDescent="0.25">
      <c r="A275" s="3" t="s">
        <v>28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44713</v>
      </c>
      <c r="J275" s="4">
        <v>0</v>
      </c>
      <c r="K275" s="4">
        <v>0</v>
      </c>
      <c r="L275" s="4">
        <v>3.5760000000000001</v>
      </c>
      <c r="M275" s="4">
        <v>3.5760000000000001</v>
      </c>
      <c r="N275" s="4">
        <v>3.5760000000000001</v>
      </c>
      <c r="O275" s="4">
        <v>3.5760000000000001</v>
      </c>
      <c r="P275" s="4">
        <v>32</v>
      </c>
      <c r="Q275" s="3" t="s">
        <v>26</v>
      </c>
      <c r="R275" s="3">
        <v>0</v>
      </c>
      <c r="S275" s="4">
        <v>0</v>
      </c>
      <c r="T275" s="4">
        <v>6</v>
      </c>
      <c r="U275" s="4">
        <v>32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367.75</v>
      </c>
      <c r="X275" s="4">
        <f>IF(ISERROR(VLOOKUP($U$275,'TAR FIN'!$A$1:$O$85,15,0)),0,VLOOKUP($U$275,'TAR FIN'!$A$1:$O$85,15,0))</f>
        <v>267.91000000000003</v>
      </c>
      <c r="Y275" s="4"/>
      <c r="Z275" s="4">
        <f ca="1">('TUSD BE'!$AM$20+'TUSD BF'!$AM$20+'TUSD CVA'!$AM$20)*1</f>
        <v>437.60278231454038</v>
      </c>
      <c r="AA275" s="4">
        <f>('TE BE'!$AB$10+'TE BF'!$AB$10+'TE CVA'!$AB$10)*1</f>
        <v>185.42082399535556</v>
      </c>
      <c r="AB275" s="4">
        <f>$K$275*$V$275</f>
        <v>0</v>
      </c>
      <c r="AC275" s="4">
        <f>$M$275*$W$275</f>
        <v>1315.0740000000001</v>
      </c>
      <c r="AD275" s="4">
        <f>$O$275*$X$275</f>
        <v>958.0461600000001</v>
      </c>
      <c r="AE275" s="4">
        <f>$K$275*$Y$275</f>
        <v>0</v>
      </c>
      <c r="AF275" s="4">
        <f ca="1">$M$275*$Z$275</f>
        <v>1564.8675495567963</v>
      </c>
      <c r="AG275" s="4">
        <f>$O$275*$AA$275</f>
        <v>663.06486660739154</v>
      </c>
    </row>
    <row r="276" spans="1:33" ht="11.25" customHeight="1" x14ac:dyDescent="0.25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44743</v>
      </c>
      <c r="J276" s="4">
        <v>0</v>
      </c>
      <c r="K276" s="4">
        <v>0</v>
      </c>
      <c r="L276" s="4">
        <v>561.25199999999995</v>
      </c>
      <c r="M276" s="4">
        <v>561.25199999999995</v>
      </c>
      <c r="N276" s="4">
        <v>561.25199999999995</v>
      </c>
      <c r="O276" s="4">
        <v>561.25199999999995</v>
      </c>
      <c r="P276" s="4">
        <v>3542</v>
      </c>
      <c r="Q276" s="3" t="s">
        <v>26</v>
      </c>
      <c r="R276" s="3">
        <v>0</v>
      </c>
      <c r="S276" s="4">
        <v>0</v>
      </c>
      <c r="T276" s="4">
        <v>6</v>
      </c>
      <c r="U276" s="4">
        <v>32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367.75</v>
      </c>
      <c r="X276" s="4">
        <f>IF(ISERROR(VLOOKUP($U$276,'TAR FIN'!$A$1:$O$85,15,0)),0,VLOOKUP($U$276,'TAR FIN'!$A$1:$O$85,15,0))</f>
        <v>267.91000000000003</v>
      </c>
      <c r="Y276" s="4"/>
      <c r="Z276" s="4">
        <f ca="1">('TUSD BE'!$AM$20+'TUSD BF'!$AM$20+'TUSD CVA'!$AM$20)*1</f>
        <v>437.60278231454038</v>
      </c>
      <c r="AA276" s="4">
        <f>('TE BE'!$AB$10+'TE BF'!$AB$10+'TE CVA'!$AB$10)*1</f>
        <v>185.42082399535556</v>
      </c>
      <c r="AB276" s="4">
        <f>$K$276*$V$276</f>
        <v>0</v>
      </c>
      <c r="AC276" s="4">
        <f>$M$276*$W$276</f>
        <v>206400.42299999998</v>
      </c>
      <c r="AD276" s="4">
        <f>$O$276*$X$276</f>
        <v>150365.02332000001</v>
      </c>
      <c r="AE276" s="4">
        <f>$K$276*$Y$276</f>
        <v>0</v>
      </c>
      <c r="AF276" s="4">
        <f ca="1">$M$276*$Z$276</f>
        <v>245605.43677960039</v>
      </c>
      <c r="AG276" s="4">
        <f>$O$276*$AA$276</f>
        <v>104067.80830904128</v>
      </c>
    </row>
    <row r="277" spans="1:33" ht="11.25" customHeight="1" x14ac:dyDescent="0.25">
      <c r="A277" s="3" t="s">
        <v>28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44743</v>
      </c>
      <c r="J277" s="4">
        <v>0</v>
      </c>
      <c r="K277" s="4">
        <v>0</v>
      </c>
      <c r="L277" s="4">
        <v>4.1139999999999999</v>
      </c>
      <c r="M277" s="4">
        <v>4.1139999999999999</v>
      </c>
      <c r="N277" s="4">
        <v>4.1139999999999999</v>
      </c>
      <c r="O277" s="4">
        <v>4.1139999999999999</v>
      </c>
      <c r="P277" s="4">
        <v>37</v>
      </c>
      <c r="Q277" s="3" t="s">
        <v>26</v>
      </c>
      <c r="R277" s="3">
        <v>0</v>
      </c>
      <c r="S277" s="4">
        <v>0</v>
      </c>
      <c r="T277" s="4">
        <v>6</v>
      </c>
      <c r="U277" s="4">
        <v>32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367.75</v>
      </c>
      <c r="X277" s="4">
        <f>IF(ISERROR(VLOOKUP($U$277,'TAR FIN'!$A$1:$O$85,15,0)),0,VLOOKUP($U$277,'TAR FIN'!$A$1:$O$85,15,0))</f>
        <v>267.91000000000003</v>
      </c>
      <c r="Y277" s="4"/>
      <c r="Z277" s="4">
        <f ca="1">('TUSD BE'!$AM$20+'TUSD BF'!$AM$20+'TUSD CVA'!$AM$20)*1</f>
        <v>437.60278231454038</v>
      </c>
      <c r="AA277" s="4">
        <f>('TE BE'!$AB$10+'TE BF'!$AB$10+'TE CVA'!$AB$10)*1</f>
        <v>185.42082399535556</v>
      </c>
      <c r="AB277" s="4">
        <f>$K$277*$V$277</f>
        <v>0</v>
      </c>
      <c r="AC277" s="4">
        <f>$M$277*$W$277</f>
        <v>1512.9234999999999</v>
      </c>
      <c r="AD277" s="4">
        <f>$O$277*$X$277</f>
        <v>1102.18174</v>
      </c>
      <c r="AE277" s="4">
        <f>$K$277*$Y$277</f>
        <v>0</v>
      </c>
      <c r="AF277" s="4">
        <f ca="1">$M$277*$Z$277</f>
        <v>1800.2978464420191</v>
      </c>
      <c r="AG277" s="4">
        <f>$O$277*$AA$277</f>
        <v>762.82126991689279</v>
      </c>
    </row>
    <row r="278" spans="1:3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44774</v>
      </c>
      <c r="J278" s="4">
        <v>0</v>
      </c>
      <c r="K278" s="4">
        <v>0</v>
      </c>
      <c r="L278" s="4">
        <v>585.34900000000005</v>
      </c>
      <c r="M278" s="4">
        <v>585.34900000000005</v>
      </c>
      <c r="N278" s="4">
        <v>585.34900000000005</v>
      </c>
      <c r="O278" s="4">
        <v>585.34900000000005</v>
      </c>
      <c r="P278" s="4">
        <v>3555</v>
      </c>
      <c r="Q278" s="3" t="s">
        <v>26</v>
      </c>
      <c r="R278" s="3">
        <v>0</v>
      </c>
      <c r="S278" s="4">
        <v>0</v>
      </c>
      <c r="T278" s="4">
        <v>6</v>
      </c>
      <c r="U278" s="4">
        <v>32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367.75</v>
      </c>
      <c r="X278" s="4">
        <f>IF(ISERROR(VLOOKUP($U$278,'TAR FIN'!$A$1:$O$85,15,0)),0,VLOOKUP($U$278,'TAR FIN'!$A$1:$O$85,15,0))</f>
        <v>267.91000000000003</v>
      </c>
      <c r="Y278" s="4"/>
      <c r="Z278" s="4">
        <f ca="1">('TUSD BE'!$AM$20+'TUSD BF'!$AM$20+'TUSD CVA'!$AM$20)*1</f>
        <v>437.60278231454038</v>
      </c>
      <c r="AA278" s="4">
        <f>('TE BE'!$AB$10+'TE BF'!$AB$10+'TE CVA'!$AB$10)*1</f>
        <v>185.42082399535556</v>
      </c>
      <c r="AB278" s="4">
        <f>$K$278*$V$278</f>
        <v>0</v>
      </c>
      <c r="AC278" s="4">
        <f>$M$278*$W$278</f>
        <v>215262.09475000002</v>
      </c>
      <c r="AD278" s="4">
        <f>$O$278*$X$278</f>
        <v>156820.85059000002</v>
      </c>
      <c r="AE278" s="4">
        <f>$K$278*$Y$278</f>
        <v>0</v>
      </c>
      <c r="AF278" s="4">
        <f ca="1">$M$278*$Z$278</f>
        <v>256150.35102503392</v>
      </c>
      <c r="AG278" s="4">
        <f>$O$278*$AA$278</f>
        <v>108535.8939048574</v>
      </c>
    </row>
    <row r="279" spans="1:33" ht="11.25" customHeight="1" x14ac:dyDescent="0.25">
      <c r="A279" s="3" t="s">
        <v>27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44774</v>
      </c>
      <c r="J279" s="4">
        <v>0</v>
      </c>
      <c r="K279" s="4">
        <v>0</v>
      </c>
      <c r="L279" s="4">
        <v>-0.248</v>
      </c>
      <c r="M279" s="4">
        <v>-0.248</v>
      </c>
      <c r="N279" s="4">
        <v>-0.248</v>
      </c>
      <c r="O279" s="4">
        <v>-0.248</v>
      </c>
      <c r="P279" s="4">
        <v>0</v>
      </c>
      <c r="Q279" s="3" t="s">
        <v>26</v>
      </c>
      <c r="R279" s="3">
        <v>0</v>
      </c>
      <c r="S279" s="4">
        <v>0</v>
      </c>
      <c r="T279" s="4">
        <v>6</v>
      </c>
      <c r="U279" s="4">
        <v>32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367.75</v>
      </c>
      <c r="X279" s="4">
        <f>IF(ISERROR(VLOOKUP($U$279,'TAR FIN'!$A$1:$O$85,15,0)),0,VLOOKUP($U$279,'TAR FIN'!$A$1:$O$85,15,0))</f>
        <v>267.91000000000003</v>
      </c>
      <c r="Y279" s="4"/>
      <c r="Z279" s="4">
        <f ca="1">('TUSD BE'!$AM$20+'TUSD BF'!$AM$20+'TUSD CVA'!$AM$20)*1</f>
        <v>437.60278231454038</v>
      </c>
      <c r="AA279" s="4">
        <f>('TE BE'!$AB$10+'TE BF'!$AB$10+'TE CVA'!$AB$10)*1</f>
        <v>185.42082399535556</v>
      </c>
      <c r="AB279" s="4">
        <f>$K$279*$V$279</f>
        <v>0</v>
      </c>
      <c r="AC279" s="4">
        <f>$M$279*$W$279</f>
        <v>-91.201999999999998</v>
      </c>
      <c r="AD279" s="4">
        <f>$O$279*$X$279</f>
        <v>-66.441680000000005</v>
      </c>
      <c r="AE279" s="4">
        <f>$K$279*$Y$279</f>
        <v>0</v>
      </c>
      <c r="AF279" s="4">
        <f ca="1">$M$279*$Z$279</f>
        <v>-108.52549001400601</v>
      </c>
      <c r="AG279" s="4">
        <f>$O$279*$AA$279</f>
        <v>-45.984364350848182</v>
      </c>
    </row>
    <row r="280" spans="1:33" ht="11.25" customHeight="1" x14ac:dyDescent="0.25">
      <c r="A280" s="3" t="s">
        <v>28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44774</v>
      </c>
      <c r="J280" s="4">
        <v>0</v>
      </c>
      <c r="K280" s="4">
        <v>0</v>
      </c>
      <c r="L280" s="4">
        <v>3.4729999999999999</v>
      </c>
      <c r="M280" s="4">
        <v>3.4729999999999999</v>
      </c>
      <c r="N280" s="4">
        <v>3.4729999999999999</v>
      </c>
      <c r="O280" s="4">
        <v>3.4729999999999999</v>
      </c>
      <c r="P280" s="4">
        <v>38</v>
      </c>
      <c r="Q280" s="3" t="s">
        <v>26</v>
      </c>
      <c r="R280" s="3">
        <v>0</v>
      </c>
      <c r="S280" s="4">
        <v>0</v>
      </c>
      <c r="T280" s="4">
        <v>6</v>
      </c>
      <c r="U280" s="4">
        <v>32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367.75</v>
      </c>
      <c r="X280" s="4">
        <f>IF(ISERROR(VLOOKUP($U$280,'TAR FIN'!$A$1:$O$85,15,0)),0,VLOOKUP($U$280,'TAR FIN'!$A$1:$O$85,15,0))</f>
        <v>267.91000000000003</v>
      </c>
      <c r="Y280" s="4"/>
      <c r="Z280" s="4">
        <f ca="1">('TUSD BE'!$AM$20+'TUSD BF'!$AM$20+'TUSD CVA'!$AM$20)*1</f>
        <v>437.60278231454038</v>
      </c>
      <c r="AA280" s="4">
        <f>('TE BE'!$AB$10+'TE BF'!$AB$10+'TE CVA'!$AB$10)*1</f>
        <v>185.42082399535556</v>
      </c>
      <c r="AB280" s="4">
        <f>$K$280*$V$280</f>
        <v>0</v>
      </c>
      <c r="AC280" s="4">
        <f>$M$280*$W$280</f>
        <v>1277.1957499999999</v>
      </c>
      <c r="AD280" s="4">
        <f>$O$280*$X$280</f>
        <v>930.45143000000007</v>
      </c>
      <c r="AE280" s="4">
        <f>$K$280*$Y$280</f>
        <v>0</v>
      </c>
      <c r="AF280" s="4">
        <f ca="1">$M$280*$Z$280</f>
        <v>1519.7944629783988</v>
      </c>
      <c r="AG280" s="4">
        <f>$O$280*$AA$280</f>
        <v>643.96652173586983</v>
      </c>
    </row>
    <row r="281" spans="1:3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29</v>
      </c>
      <c r="F281" s="3" t="s">
        <v>25</v>
      </c>
      <c r="G281" s="3" t="s">
        <v>25</v>
      </c>
      <c r="H281" s="3" t="s">
        <v>25</v>
      </c>
      <c r="I281" s="6">
        <v>44440</v>
      </c>
      <c r="J281" s="4">
        <v>0</v>
      </c>
      <c r="K281" s="4">
        <v>0</v>
      </c>
      <c r="L281" s="4">
        <v>4.38</v>
      </c>
      <c r="M281" s="4">
        <v>4.38</v>
      </c>
      <c r="N281" s="4">
        <v>4.38</v>
      </c>
      <c r="O281" s="4">
        <v>4.38</v>
      </c>
      <c r="P281" s="4">
        <v>2</v>
      </c>
      <c r="Q281" s="3" t="s">
        <v>26</v>
      </c>
      <c r="R281" s="3">
        <v>0</v>
      </c>
      <c r="S281" s="4">
        <v>0</v>
      </c>
      <c r="T281" s="4">
        <v>5</v>
      </c>
      <c r="U281" s="4">
        <v>31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109.18</v>
      </c>
      <c r="X281" s="4">
        <f>IF(ISERROR(VLOOKUP($U$281,'TAR FIN'!$A$1:$O$85,15,0)),0,VLOOKUP($U$281,'TAR FIN'!$A$1:$O$85,15,0))</f>
        <v>93.77</v>
      </c>
      <c r="Y281" s="4"/>
      <c r="Z281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1" s="4">
        <f>('TE BE'!$AB$11+'TE BF'!$AB$11+'TE CVA'!$AB$11)*(1-CUSTOS!$M$34)</f>
        <v>64.897288398374442</v>
      </c>
      <c r="AB281" s="4">
        <f>$K$281*$V$281</f>
        <v>0</v>
      </c>
      <c r="AC281" s="4">
        <f>$M$281*$W$281</f>
        <v>478.20840000000004</v>
      </c>
      <c r="AD281" s="4">
        <f>$O$281*$X$281</f>
        <v>410.71259999999995</v>
      </c>
      <c r="AE281" s="4">
        <f>$K$281*$Y$281</f>
        <v>0</v>
      </c>
      <c r="AF281" s="4">
        <f ca="1">$M$281*$Z$281</f>
        <v>503.12382012790061</v>
      </c>
      <c r="AG281" s="4">
        <f>$O$281*$AA$281</f>
        <v>284.25012318488007</v>
      </c>
    </row>
    <row r="282" spans="1:3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29</v>
      </c>
      <c r="F282" s="3" t="s">
        <v>25</v>
      </c>
      <c r="G282" s="3" t="s">
        <v>25</v>
      </c>
      <c r="H282" s="3" t="s">
        <v>25</v>
      </c>
      <c r="I282" s="6">
        <v>44470</v>
      </c>
      <c r="J282" s="4">
        <v>0</v>
      </c>
      <c r="K282" s="4">
        <v>0</v>
      </c>
      <c r="L282" s="4">
        <v>4.47</v>
      </c>
      <c r="M282" s="4">
        <v>4.47</v>
      </c>
      <c r="N282" s="4">
        <v>4.47</v>
      </c>
      <c r="O282" s="4">
        <v>4.47</v>
      </c>
      <c r="P282" s="4">
        <v>2</v>
      </c>
      <c r="Q282" s="3" t="s">
        <v>26</v>
      </c>
      <c r="R282" s="3">
        <v>0</v>
      </c>
      <c r="S282" s="4">
        <v>0</v>
      </c>
      <c r="T282" s="4">
        <v>5</v>
      </c>
      <c r="U282" s="4">
        <v>31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109.18</v>
      </c>
      <c r="X282" s="4">
        <f>IF(ISERROR(VLOOKUP($U$282,'TAR FIN'!$A$1:$O$85,15,0)),0,VLOOKUP($U$282,'TAR FIN'!$A$1:$O$85,15,0))</f>
        <v>93.77</v>
      </c>
      <c r="Y282" s="4"/>
      <c r="Z282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2" s="4">
        <f>('TE BE'!$AB$11+'TE BF'!$AB$11+'TE CVA'!$AB$11)*(1-CUSTOS!$M$34)</f>
        <v>64.897288398374442</v>
      </c>
      <c r="AB282" s="4">
        <f>$K$282*$V$282</f>
        <v>0</v>
      </c>
      <c r="AC282" s="4">
        <f>$M$282*$W$282</f>
        <v>488.03460000000001</v>
      </c>
      <c r="AD282" s="4">
        <f>$O$282*$X$282</f>
        <v>419.15189999999996</v>
      </c>
      <c r="AE282" s="4">
        <f>$K$282*$Y$282</f>
        <v>0</v>
      </c>
      <c r="AF282" s="4">
        <f ca="1">$M$282*$Z$282</f>
        <v>513.46198081546015</v>
      </c>
      <c r="AG282" s="4">
        <f>$O$282*$AA$282</f>
        <v>290.09087914073376</v>
      </c>
    </row>
    <row r="283" spans="1:3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29</v>
      </c>
      <c r="F283" s="3" t="s">
        <v>25</v>
      </c>
      <c r="G283" s="3" t="s">
        <v>25</v>
      </c>
      <c r="H283" s="3" t="s">
        <v>25</v>
      </c>
      <c r="I283" s="6">
        <v>44501</v>
      </c>
      <c r="J283" s="4">
        <v>0</v>
      </c>
      <c r="K283" s="4">
        <v>0</v>
      </c>
      <c r="L283" s="4">
        <v>4.5599999999999996</v>
      </c>
      <c r="M283" s="4">
        <v>4.5599999999999996</v>
      </c>
      <c r="N283" s="4">
        <v>4.5599999999999996</v>
      </c>
      <c r="O283" s="4">
        <v>4.5599999999999996</v>
      </c>
      <c r="P283" s="4">
        <v>1</v>
      </c>
      <c r="Q283" s="3" t="s">
        <v>26</v>
      </c>
      <c r="R283" s="3">
        <v>0</v>
      </c>
      <c r="S283" s="4">
        <v>0</v>
      </c>
      <c r="T283" s="4">
        <v>5</v>
      </c>
      <c r="U283" s="4">
        <v>31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109.18</v>
      </c>
      <c r="X283" s="4">
        <f>IF(ISERROR(VLOOKUP($U$283,'TAR FIN'!$A$1:$O$85,15,0)),0,VLOOKUP($U$283,'TAR FIN'!$A$1:$O$85,15,0))</f>
        <v>93.77</v>
      </c>
      <c r="Y283" s="4"/>
      <c r="Z283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3" s="4">
        <f>('TE BE'!$AB$11+'TE BF'!$AB$11+'TE CVA'!$AB$11)*(1-CUSTOS!$M$34)</f>
        <v>64.897288398374442</v>
      </c>
      <c r="AB283" s="4">
        <f>$K$283*$V$283</f>
        <v>0</v>
      </c>
      <c r="AC283" s="4">
        <f>$M$283*$W$283</f>
        <v>497.86079999999998</v>
      </c>
      <c r="AD283" s="4">
        <f>$O$283*$X$283</f>
        <v>427.59119999999996</v>
      </c>
      <c r="AE283" s="4">
        <f>$K$283*$Y$283</f>
        <v>0</v>
      </c>
      <c r="AF283" s="4">
        <f ca="1">$M$283*$Z$283</f>
        <v>523.80014150301974</v>
      </c>
      <c r="AG283" s="4">
        <f>$O$283*$AA$283</f>
        <v>295.93163509658746</v>
      </c>
    </row>
    <row r="284" spans="1:3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29</v>
      </c>
      <c r="F284" s="3" t="s">
        <v>25</v>
      </c>
      <c r="G284" s="3" t="s">
        <v>25</v>
      </c>
      <c r="H284" s="3" t="s">
        <v>25</v>
      </c>
      <c r="I284" s="6">
        <v>44531</v>
      </c>
      <c r="J284" s="4">
        <v>0</v>
      </c>
      <c r="K284" s="4">
        <v>0</v>
      </c>
      <c r="L284" s="4">
        <v>5.01</v>
      </c>
      <c r="M284" s="4">
        <v>5.01</v>
      </c>
      <c r="N284" s="4">
        <v>5.01</v>
      </c>
      <c r="O284" s="4">
        <v>5.01</v>
      </c>
      <c r="P284" s="4">
        <v>2</v>
      </c>
      <c r="Q284" s="3" t="s">
        <v>26</v>
      </c>
      <c r="R284" s="3">
        <v>0</v>
      </c>
      <c r="S284" s="4">
        <v>0</v>
      </c>
      <c r="T284" s="4">
        <v>5</v>
      </c>
      <c r="U284" s="4">
        <v>31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109.18</v>
      </c>
      <c r="X284" s="4">
        <f>IF(ISERROR(VLOOKUP($U$284,'TAR FIN'!$A$1:$O$85,15,0)),0,VLOOKUP($U$284,'TAR FIN'!$A$1:$O$85,15,0))</f>
        <v>93.77</v>
      </c>
      <c r="Y284" s="4"/>
      <c r="Z284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4" s="4">
        <f>('TE BE'!$AB$11+'TE BF'!$AB$11+'TE CVA'!$AB$11)*(1-CUSTOS!$M$34)</f>
        <v>64.897288398374442</v>
      </c>
      <c r="AB284" s="4">
        <f>$K$284*$V$284</f>
        <v>0</v>
      </c>
      <c r="AC284" s="4">
        <f>$M$284*$W$284</f>
        <v>546.99180000000001</v>
      </c>
      <c r="AD284" s="4">
        <f>$O$284*$X$284</f>
        <v>469.78769999999997</v>
      </c>
      <c r="AE284" s="4">
        <f>$K$284*$Y$284</f>
        <v>0</v>
      </c>
      <c r="AF284" s="4">
        <f ca="1">$M$284*$Z$284</f>
        <v>575.49094494081783</v>
      </c>
      <c r="AG284" s="4">
        <f>$O$284*$AA$284</f>
        <v>325.13541487585593</v>
      </c>
    </row>
    <row r="285" spans="1:33" ht="11.25" customHeight="1" x14ac:dyDescent="0.25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29</v>
      </c>
      <c r="F285" s="3" t="s">
        <v>25</v>
      </c>
      <c r="G285" s="3" t="s">
        <v>25</v>
      </c>
      <c r="H285" s="3" t="s">
        <v>25</v>
      </c>
      <c r="I285" s="6">
        <v>44562</v>
      </c>
      <c r="J285" s="4">
        <v>0</v>
      </c>
      <c r="K285" s="4">
        <v>0</v>
      </c>
      <c r="L285" s="4">
        <v>4.92</v>
      </c>
      <c r="M285" s="4">
        <v>4.92</v>
      </c>
      <c r="N285" s="4">
        <v>4.92</v>
      </c>
      <c r="O285" s="4">
        <v>4.92</v>
      </c>
      <c r="P285" s="4">
        <v>0</v>
      </c>
      <c r="Q285" s="3" t="s">
        <v>26</v>
      </c>
      <c r="R285" s="3">
        <v>0</v>
      </c>
      <c r="S285" s="4">
        <v>0</v>
      </c>
      <c r="T285" s="4">
        <v>5</v>
      </c>
      <c r="U285" s="4">
        <v>31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109.18</v>
      </c>
      <c r="X285" s="4">
        <f>IF(ISERROR(VLOOKUP($U$285,'TAR FIN'!$A$1:$O$85,15,0)),0,VLOOKUP($U$285,'TAR FIN'!$A$1:$O$85,15,0))</f>
        <v>93.77</v>
      </c>
      <c r="Y285" s="4"/>
      <c r="Z285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5" s="4">
        <f>('TE BE'!$AB$11+'TE BF'!$AB$11+'TE CVA'!$AB$11)*(1-CUSTOS!$M$34)</f>
        <v>64.897288398374442</v>
      </c>
      <c r="AB285" s="4">
        <f>$K$285*$V$285</f>
        <v>0</v>
      </c>
      <c r="AC285" s="4">
        <f>$M$285*$W$285</f>
        <v>537.16560000000004</v>
      </c>
      <c r="AD285" s="4">
        <f>$O$285*$X$285</f>
        <v>461.34839999999997</v>
      </c>
      <c r="AE285" s="4">
        <f>$K$285*$Y$285</f>
        <v>0</v>
      </c>
      <c r="AF285" s="4">
        <f ca="1">$M$285*$Z$285</f>
        <v>565.15278425325823</v>
      </c>
      <c r="AG285" s="4">
        <f>$O$285*$AA$285</f>
        <v>319.29465892000223</v>
      </c>
    </row>
    <row r="286" spans="1:33" ht="11.25" customHeight="1" x14ac:dyDescent="0.25">
      <c r="A286" s="3" t="s">
        <v>27</v>
      </c>
      <c r="B286" s="3" t="s">
        <v>22</v>
      </c>
      <c r="C286" s="3" t="s">
        <v>23</v>
      </c>
      <c r="D286" s="3" t="s">
        <v>24</v>
      </c>
      <c r="E286" s="3" t="s">
        <v>29</v>
      </c>
      <c r="F286" s="3" t="s">
        <v>25</v>
      </c>
      <c r="G286" s="3" t="s">
        <v>25</v>
      </c>
      <c r="H286" s="3" t="s">
        <v>25</v>
      </c>
      <c r="I286" s="6">
        <v>44562</v>
      </c>
      <c r="J286" s="4">
        <v>0</v>
      </c>
      <c r="K286" s="4">
        <v>0</v>
      </c>
      <c r="L286" s="4">
        <v>-0.03</v>
      </c>
      <c r="M286" s="4">
        <v>-0.03</v>
      </c>
      <c r="N286" s="4">
        <v>-0.03</v>
      </c>
      <c r="O286" s="4">
        <v>-0.03</v>
      </c>
      <c r="P286" s="4">
        <v>0</v>
      </c>
      <c r="Q286" s="3" t="s">
        <v>26</v>
      </c>
      <c r="R286" s="3">
        <v>0</v>
      </c>
      <c r="S286" s="4">
        <v>0</v>
      </c>
      <c r="T286" s="4">
        <v>5</v>
      </c>
      <c r="U286" s="4">
        <v>31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109.18</v>
      </c>
      <c r="X286" s="4">
        <f>IF(ISERROR(VLOOKUP($U$286,'TAR FIN'!$A$1:$O$85,15,0)),0,VLOOKUP($U$286,'TAR FIN'!$A$1:$O$85,15,0))</f>
        <v>93.77</v>
      </c>
      <c r="Y286" s="4"/>
      <c r="Z286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6" s="4">
        <f>('TE BE'!$AB$11+'TE BF'!$AB$11+'TE CVA'!$AB$11)*(1-CUSTOS!$M$34)</f>
        <v>64.897288398374442</v>
      </c>
      <c r="AB286" s="4">
        <f>$K$286*$V$286</f>
        <v>0</v>
      </c>
      <c r="AC286" s="4">
        <f>$M$286*$W$286</f>
        <v>-3.2753999999999999</v>
      </c>
      <c r="AD286" s="4">
        <f>$O$286*$X$286</f>
        <v>-2.8130999999999999</v>
      </c>
      <c r="AE286" s="4">
        <f>$K$286*$Y$286</f>
        <v>0</v>
      </c>
      <c r="AF286" s="4">
        <f ca="1">$M$286*$Z$286</f>
        <v>-3.4460535625198672</v>
      </c>
      <c r="AG286" s="4">
        <f>$O$286*$AA$286</f>
        <v>-1.9469186519512331</v>
      </c>
    </row>
    <row r="287" spans="1:3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29</v>
      </c>
      <c r="F287" s="3" t="s">
        <v>25</v>
      </c>
      <c r="G287" s="3" t="s">
        <v>25</v>
      </c>
      <c r="H287" s="3" t="s">
        <v>25</v>
      </c>
      <c r="I287" s="6">
        <v>44593</v>
      </c>
      <c r="J287" s="4">
        <v>0</v>
      </c>
      <c r="K287" s="4">
        <v>0</v>
      </c>
      <c r="L287" s="4">
        <v>5.58</v>
      </c>
      <c r="M287" s="4">
        <v>5.58</v>
      </c>
      <c r="N287" s="4">
        <v>5.58</v>
      </c>
      <c r="O287" s="4">
        <v>5.58</v>
      </c>
      <c r="P287" s="4">
        <v>0</v>
      </c>
      <c r="Q287" s="3" t="s">
        <v>26</v>
      </c>
      <c r="R287" s="3">
        <v>0</v>
      </c>
      <c r="S287" s="4">
        <v>0</v>
      </c>
      <c r="T287" s="4">
        <v>5</v>
      </c>
      <c r="U287" s="4">
        <v>31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109.18</v>
      </c>
      <c r="X287" s="4">
        <f>IF(ISERROR(VLOOKUP($U$287,'TAR FIN'!$A$1:$O$85,15,0)),0,VLOOKUP($U$287,'TAR FIN'!$A$1:$O$85,15,0))</f>
        <v>93.77</v>
      </c>
      <c r="Y287" s="4"/>
      <c r="Z287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7" s="4">
        <f>('TE BE'!$AB$11+'TE BF'!$AB$11+'TE CVA'!$AB$11)*(1-CUSTOS!$M$34)</f>
        <v>64.897288398374442</v>
      </c>
      <c r="AB287" s="4">
        <f>$K$287*$V$287</f>
        <v>0</v>
      </c>
      <c r="AC287" s="4">
        <f>$M$287*$W$287</f>
        <v>609.22440000000006</v>
      </c>
      <c r="AD287" s="4">
        <f>$O$287*$X$287</f>
        <v>523.23659999999995</v>
      </c>
      <c r="AE287" s="4">
        <f>$K$287*$Y$287</f>
        <v>0</v>
      </c>
      <c r="AF287" s="4">
        <f ca="1">$M$287*$Z$287</f>
        <v>640.96596262869537</v>
      </c>
      <c r="AG287" s="4">
        <f>$O$287*$AA$287</f>
        <v>362.1268692629294</v>
      </c>
    </row>
    <row r="288" spans="1:33" ht="11.25" customHeight="1" x14ac:dyDescent="0.25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29</v>
      </c>
      <c r="F288" s="3" t="s">
        <v>25</v>
      </c>
      <c r="G288" s="3" t="s">
        <v>25</v>
      </c>
      <c r="H288" s="3" t="s">
        <v>25</v>
      </c>
      <c r="I288" s="6">
        <v>44621</v>
      </c>
      <c r="J288" s="4">
        <v>0</v>
      </c>
      <c r="K288" s="4">
        <v>0</v>
      </c>
      <c r="L288" s="4">
        <v>6.78</v>
      </c>
      <c r="M288" s="4">
        <v>6.78</v>
      </c>
      <c r="N288" s="4">
        <v>6.78</v>
      </c>
      <c r="O288" s="4">
        <v>6.78</v>
      </c>
      <c r="P288" s="4">
        <v>3</v>
      </c>
      <c r="Q288" s="3" t="s">
        <v>26</v>
      </c>
      <c r="R288" s="3">
        <v>0</v>
      </c>
      <c r="S288" s="4">
        <v>0</v>
      </c>
      <c r="T288" s="4">
        <v>5</v>
      </c>
      <c r="U288" s="4">
        <v>31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109.18</v>
      </c>
      <c r="X288" s="4">
        <f>IF(ISERROR(VLOOKUP($U$288,'TAR FIN'!$A$1:$O$85,15,0)),0,VLOOKUP($U$288,'TAR FIN'!$A$1:$O$85,15,0))</f>
        <v>93.77</v>
      </c>
      <c r="Y288" s="4"/>
      <c r="Z288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8" s="4">
        <f>('TE BE'!$AB$11+'TE BF'!$AB$11+'TE CVA'!$AB$11)*(1-CUSTOS!$M$34)</f>
        <v>64.897288398374442</v>
      </c>
      <c r="AB288" s="4">
        <f>$K$288*$V$288</f>
        <v>0</v>
      </c>
      <c r="AC288" s="4">
        <f>$M$288*$W$288</f>
        <v>740.24040000000002</v>
      </c>
      <c r="AD288" s="4">
        <f>$O$288*$X$288</f>
        <v>635.76059999999995</v>
      </c>
      <c r="AE288" s="4">
        <f>$K$288*$Y$288</f>
        <v>0</v>
      </c>
      <c r="AF288" s="4">
        <f ca="1">$M$288*$Z$288</f>
        <v>778.80810512949006</v>
      </c>
      <c r="AG288" s="4">
        <f>$O$288*$AA$288</f>
        <v>440.00361534097874</v>
      </c>
    </row>
    <row r="289" spans="1:3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29</v>
      </c>
      <c r="F289" s="3" t="s">
        <v>25</v>
      </c>
      <c r="G289" s="3" t="s">
        <v>25</v>
      </c>
      <c r="H289" s="3" t="s">
        <v>25</v>
      </c>
      <c r="I289" s="6">
        <v>44652</v>
      </c>
      <c r="J289" s="4">
        <v>0</v>
      </c>
      <c r="K289" s="4">
        <v>0</v>
      </c>
      <c r="L289" s="4">
        <v>6.99</v>
      </c>
      <c r="M289" s="4">
        <v>6.99</v>
      </c>
      <c r="N289" s="4">
        <v>6.99</v>
      </c>
      <c r="O289" s="4">
        <v>6.99</v>
      </c>
      <c r="P289" s="4">
        <v>3</v>
      </c>
      <c r="Q289" s="3" t="s">
        <v>26</v>
      </c>
      <c r="R289" s="3">
        <v>0</v>
      </c>
      <c r="S289" s="4">
        <v>0</v>
      </c>
      <c r="T289" s="4">
        <v>5</v>
      </c>
      <c r="U289" s="4">
        <v>31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109.18</v>
      </c>
      <c r="X289" s="4">
        <f>IF(ISERROR(VLOOKUP($U$289,'TAR FIN'!$A$1:$O$85,15,0)),0,VLOOKUP($U$289,'TAR FIN'!$A$1:$O$85,15,0))</f>
        <v>93.77</v>
      </c>
      <c r="Y289" s="4"/>
      <c r="Z289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89" s="4">
        <f>('TE BE'!$AB$11+'TE BF'!$AB$11+'TE CVA'!$AB$11)*(1-CUSTOS!$M$34)</f>
        <v>64.897288398374442</v>
      </c>
      <c r="AB289" s="4">
        <f>$K$289*$V$289</f>
        <v>0</v>
      </c>
      <c r="AC289" s="4">
        <f>$M$289*$W$289</f>
        <v>763.16820000000007</v>
      </c>
      <c r="AD289" s="4">
        <f>$O$289*$X$289</f>
        <v>655.45230000000004</v>
      </c>
      <c r="AE289" s="4">
        <f>$K$289*$Y$289</f>
        <v>0</v>
      </c>
      <c r="AF289" s="4">
        <f ca="1">$M$289*$Z$289</f>
        <v>802.93048006712911</v>
      </c>
      <c r="AG289" s="4">
        <f>$O$289*$AA$289</f>
        <v>453.63204590463738</v>
      </c>
    </row>
    <row r="290" spans="1:3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29</v>
      </c>
      <c r="F290" s="3" t="s">
        <v>25</v>
      </c>
      <c r="G290" s="3" t="s">
        <v>25</v>
      </c>
      <c r="H290" s="3" t="s">
        <v>25</v>
      </c>
      <c r="I290" s="6">
        <v>44682</v>
      </c>
      <c r="J290" s="4">
        <v>0</v>
      </c>
      <c r="K290" s="4">
        <v>0</v>
      </c>
      <c r="L290" s="4">
        <v>7.17</v>
      </c>
      <c r="M290" s="4">
        <v>7.17</v>
      </c>
      <c r="N290" s="4">
        <v>7.17</v>
      </c>
      <c r="O290" s="4">
        <v>7.17</v>
      </c>
      <c r="P290" s="4">
        <v>6</v>
      </c>
      <c r="Q290" s="3" t="s">
        <v>26</v>
      </c>
      <c r="R290" s="3">
        <v>0</v>
      </c>
      <c r="S290" s="4">
        <v>0</v>
      </c>
      <c r="T290" s="4">
        <v>5</v>
      </c>
      <c r="U290" s="4">
        <v>31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109.18</v>
      </c>
      <c r="X290" s="4">
        <f>IF(ISERROR(VLOOKUP($U$290,'TAR FIN'!$A$1:$O$85,15,0)),0,VLOOKUP($U$290,'TAR FIN'!$A$1:$O$85,15,0))</f>
        <v>93.77</v>
      </c>
      <c r="Y290" s="4"/>
      <c r="Z290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90" s="4">
        <f>('TE BE'!$AB$11+'TE BF'!$AB$11+'TE CVA'!$AB$11)*(1-CUSTOS!$M$34)</f>
        <v>64.897288398374442</v>
      </c>
      <c r="AB290" s="4">
        <f>$K$290*$V$290</f>
        <v>0</v>
      </c>
      <c r="AC290" s="4">
        <f>$M$290*$W$290</f>
        <v>782.82060000000001</v>
      </c>
      <c r="AD290" s="4">
        <f>$O$290*$X$290</f>
        <v>672.33089999999993</v>
      </c>
      <c r="AE290" s="4">
        <f>$K$290*$Y$290</f>
        <v>0</v>
      </c>
      <c r="AF290" s="4">
        <f ca="1">$M$290*$Z$290</f>
        <v>823.6068014422483</v>
      </c>
      <c r="AG290" s="4">
        <f>$O$290*$AA$290</f>
        <v>465.31355781634477</v>
      </c>
    </row>
    <row r="291" spans="1:3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29</v>
      </c>
      <c r="F291" s="3" t="s">
        <v>25</v>
      </c>
      <c r="G291" s="3" t="s">
        <v>25</v>
      </c>
      <c r="H291" s="3" t="s">
        <v>25</v>
      </c>
      <c r="I291" s="6">
        <v>44713</v>
      </c>
      <c r="J291" s="4">
        <v>0</v>
      </c>
      <c r="K291" s="4">
        <v>0</v>
      </c>
      <c r="L291" s="4">
        <v>6.6</v>
      </c>
      <c r="M291" s="4">
        <v>6.6</v>
      </c>
      <c r="N291" s="4">
        <v>6.6</v>
      </c>
      <c r="O291" s="4">
        <v>6.6</v>
      </c>
      <c r="P291" s="4">
        <v>2</v>
      </c>
      <c r="Q291" s="3" t="s">
        <v>26</v>
      </c>
      <c r="R291" s="3">
        <v>0</v>
      </c>
      <c r="S291" s="4">
        <v>0</v>
      </c>
      <c r="T291" s="4">
        <v>5</v>
      </c>
      <c r="U291" s="4">
        <v>31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109.18</v>
      </c>
      <c r="X291" s="4">
        <f>IF(ISERROR(VLOOKUP($U$291,'TAR FIN'!$A$1:$O$85,15,0)),0,VLOOKUP($U$291,'TAR FIN'!$A$1:$O$85,15,0))</f>
        <v>93.77</v>
      </c>
      <c r="Y291" s="4"/>
      <c r="Z291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91" s="4">
        <f>('TE BE'!$AB$11+'TE BF'!$AB$11+'TE CVA'!$AB$11)*(1-CUSTOS!$M$34)</f>
        <v>64.897288398374442</v>
      </c>
      <c r="AB291" s="4">
        <f>$K$291*$V$291</f>
        <v>0</v>
      </c>
      <c r="AC291" s="4">
        <f>$M$291*$W$291</f>
        <v>720.58799999999997</v>
      </c>
      <c r="AD291" s="4">
        <f>$O$291*$X$291</f>
        <v>618.88199999999995</v>
      </c>
      <c r="AE291" s="4">
        <f>$K$291*$Y$291</f>
        <v>0</v>
      </c>
      <c r="AF291" s="4">
        <f ca="1">$M$291*$Z$291</f>
        <v>758.13178375437076</v>
      </c>
      <c r="AG291" s="4">
        <f>$O$291*$AA$291</f>
        <v>428.32210342927129</v>
      </c>
    </row>
    <row r="292" spans="1:33" ht="11.25" customHeight="1" x14ac:dyDescent="0.25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29</v>
      </c>
      <c r="F292" s="3" t="s">
        <v>25</v>
      </c>
      <c r="G292" s="3" t="s">
        <v>25</v>
      </c>
      <c r="H292" s="3" t="s">
        <v>25</v>
      </c>
      <c r="I292" s="6">
        <v>44743</v>
      </c>
      <c r="J292" s="4">
        <v>0</v>
      </c>
      <c r="K292" s="4">
        <v>0</v>
      </c>
      <c r="L292" s="4">
        <v>6.66</v>
      </c>
      <c r="M292" s="4">
        <v>6.66</v>
      </c>
      <c r="N292" s="4">
        <v>6.66</v>
      </c>
      <c r="O292" s="4">
        <v>6.66</v>
      </c>
      <c r="P292" s="4">
        <v>7</v>
      </c>
      <c r="Q292" s="3" t="s">
        <v>26</v>
      </c>
      <c r="R292" s="3">
        <v>0</v>
      </c>
      <c r="S292" s="4">
        <v>0</v>
      </c>
      <c r="T292" s="4">
        <v>5</v>
      </c>
      <c r="U292" s="4">
        <v>31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109.18</v>
      </c>
      <c r="X292" s="4">
        <f>IF(ISERROR(VLOOKUP($U$292,'TAR FIN'!$A$1:$O$85,15,0)),0,VLOOKUP($U$292,'TAR FIN'!$A$1:$O$85,15,0))</f>
        <v>93.77</v>
      </c>
      <c r="Y292" s="4"/>
      <c r="Z292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92" s="4">
        <f>('TE BE'!$AB$11+'TE BF'!$AB$11+'TE CVA'!$AB$11)*(1-CUSTOS!$M$34)</f>
        <v>64.897288398374442</v>
      </c>
      <c r="AB292" s="4">
        <f>$K$292*$V$292</f>
        <v>0</v>
      </c>
      <c r="AC292" s="4">
        <f>$M$292*$W$292</f>
        <v>727.13880000000006</v>
      </c>
      <c r="AD292" s="4">
        <f>$O$292*$X$292</f>
        <v>624.50819999999999</v>
      </c>
      <c r="AE292" s="4">
        <f>$K$292*$Y$292</f>
        <v>0</v>
      </c>
      <c r="AF292" s="4">
        <f ca="1">$M$292*$Z$292</f>
        <v>765.0238908794106</v>
      </c>
      <c r="AG292" s="4">
        <f>$O$292*$AA$292</f>
        <v>432.2159407331738</v>
      </c>
    </row>
    <row r="293" spans="1:3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29</v>
      </c>
      <c r="F293" s="3" t="s">
        <v>25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6.48</v>
      </c>
      <c r="M293" s="4">
        <v>6.48</v>
      </c>
      <c r="N293" s="4">
        <v>6.48</v>
      </c>
      <c r="O293" s="4">
        <v>6.48</v>
      </c>
      <c r="P293" s="4">
        <v>5</v>
      </c>
      <c r="Q293" s="3" t="s">
        <v>26</v>
      </c>
      <c r="R293" s="3">
        <v>0</v>
      </c>
      <c r="S293" s="4">
        <v>0</v>
      </c>
      <c r="T293" s="4">
        <v>5</v>
      </c>
      <c r="U293" s="4">
        <v>31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109.18</v>
      </c>
      <c r="X293" s="4">
        <f>IF(ISERROR(VLOOKUP($U$293,'TAR FIN'!$A$1:$O$85,15,0)),0,VLOOKUP($U$293,'TAR FIN'!$A$1:$O$85,15,0))</f>
        <v>93.77</v>
      </c>
      <c r="Y293" s="4"/>
      <c r="Z293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293" s="4">
        <f>('TE BE'!$AB$11+'TE BF'!$AB$11+'TE CVA'!$AB$11)*(1-CUSTOS!$M$34)</f>
        <v>64.897288398374442</v>
      </c>
      <c r="AB293" s="4">
        <f>$K$293*$V$293</f>
        <v>0</v>
      </c>
      <c r="AC293" s="4">
        <f>$M$293*$W$293</f>
        <v>707.48640000000012</v>
      </c>
      <c r="AD293" s="4">
        <f>$O$293*$X$293</f>
        <v>607.62959999999998</v>
      </c>
      <c r="AE293" s="4">
        <f>$K$293*$Y$293</f>
        <v>0</v>
      </c>
      <c r="AF293" s="4">
        <f ca="1">$M$293*$Z$293</f>
        <v>744.34756950429141</v>
      </c>
      <c r="AG293" s="4">
        <f>$O$293*$AA$293</f>
        <v>420.53442882146641</v>
      </c>
    </row>
    <row r="294" spans="1:33" ht="11.25" customHeight="1" x14ac:dyDescent="0.25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30</v>
      </c>
      <c r="F294" s="3" t="s">
        <v>25</v>
      </c>
      <c r="G294" s="3" t="s">
        <v>25</v>
      </c>
      <c r="H294" s="3" t="s">
        <v>25</v>
      </c>
      <c r="I294" s="6">
        <v>44440</v>
      </c>
      <c r="J294" s="4">
        <v>0</v>
      </c>
      <c r="K294" s="4">
        <v>0</v>
      </c>
      <c r="L294" s="4">
        <v>9.3810000000000002</v>
      </c>
      <c r="M294" s="4">
        <v>9.3810000000000002</v>
      </c>
      <c r="N294" s="4">
        <v>9.3810000000000002</v>
      </c>
      <c r="O294" s="4">
        <v>9.3810000000000002</v>
      </c>
      <c r="P294" s="4">
        <v>26</v>
      </c>
      <c r="Q294" s="3" t="s">
        <v>26</v>
      </c>
      <c r="R294" s="3">
        <v>0</v>
      </c>
      <c r="S294" s="4">
        <v>0</v>
      </c>
      <c r="T294" s="4">
        <v>9</v>
      </c>
      <c r="U294" s="4">
        <v>37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187.16</v>
      </c>
      <c r="X294" s="4">
        <f>IF(ISERROR(VLOOKUP($U$294,'TAR FIN'!$A$1:$O$85,15,0)),0,VLOOKUP($U$294,'TAR FIN'!$A$1:$O$85,15,0))</f>
        <v>160.75</v>
      </c>
      <c r="Y294" s="4"/>
      <c r="Z294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294" s="4">
        <f>('TE BE'!$AB$12+'TE BF'!$AB$12+'TE CVA'!$AB$12)*(1-CUSTOS!$M$35)</f>
        <v>111.25249439721334</v>
      </c>
      <c r="AB294" s="4">
        <f>$K$294*$V$294</f>
        <v>0</v>
      </c>
      <c r="AC294" s="4">
        <f>$M$294*$W$294</f>
        <v>1755.7479599999999</v>
      </c>
      <c r="AD294" s="4">
        <f>$O$294*$X$294</f>
        <v>1507.99575</v>
      </c>
      <c r="AE294" s="4">
        <f>$K$294*$Y$294</f>
        <v>0</v>
      </c>
      <c r="AF294" s="4">
        <f ca="1">$M$294*$Z$294</f>
        <v>1847.2816268570789</v>
      </c>
      <c r="AG294" s="4">
        <f>$O$294*$AA$294</f>
        <v>1043.6596499402583</v>
      </c>
    </row>
    <row r="295" spans="1:3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30</v>
      </c>
      <c r="F295" s="3" t="s">
        <v>25</v>
      </c>
      <c r="G295" s="3" t="s">
        <v>25</v>
      </c>
      <c r="H295" s="3" t="s">
        <v>25</v>
      </c>
      <c r="I295" s="6">
        <v>44470</v>
      </c>
      <c r="J295" s="4">
        <v>0</v>
      </c>
      <c r="K295" s="4">
        <v>0</v>
      </c>
      <c r="L295" s="4">
        <v>9.577</v>
      </c>
      <c r="M295" s="4">
        <v>9.577</v>
      </c>
      <c r="N295" s="4">
        <v>9.577</v>
      </c>
      <c r="O295" s="4">
        <v>9.577</v>
      </c>
      <c r="P295" s="4">
        <v>24</v>
      </c>
      <c r="Q295" s="3" t="s">
        <v>26</v>
      </c>
      <c r="R295" s="3">
        <v>0</v>
      </c>
      <c r="S295" s="4">
        <v>0</v>
      </c>
      <c r="T295" s="4">
        <v>9</v>
      </c>
      <c r="U295" s="4">
        <v>37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187.16</v>
      </c>
      <c r="X295" s="4">
        <f>IF(ISERROR(VLOOKUP($U$295,'TAR FIN'!$A$1:$O$85,15,0)),0,VLOOKUP($U$295,'TAR FIN'!$A$1:$O$85,15,0))</f>
        <v>160.75</v>
      </c>
      <c r="Y295" s="4"/>
      <c r="Z295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295" s="4">
        <f>('TE BE'!$AB$12+'TE BF'!$AB$12+'TE CVA'!$AB$12)*(1-CUSTOS!$M$35)</f>
        <v>111.25249439721334</v>
      </c>
      <c r="AB295" s="4">
        <f>$K$295*$V$295</f>
        <v>0</v>
      </c>
      <c r="AC295" s="4">
        <f>$M$295*$W$295</f>
        <v>1792.4313199999999</v>
      </c>
      <c r="AD295" s="4">
        <f>$O$295*$X$295</f>
        <v>1539.5027500000001</v>
      </c>
      <c r="AE295" s="4">
        <f>$K$295*$Y$295</f>
        <v>0</v>
      </c>
      <c r="AF295" s="4">
        <f ca="1">$M$295*$Z$295</f>
        <v>1885.8774267573012</v>
      </c>
      <c r="AG295" s="4">
        <f>$O$295*$AA$295</f>
        <v>1065.4651388421121</v>
      </c>
    </row>
    <row r="296" spans="1:3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30</v>
      </c>
      <c r="F296" s="3" t="s">
        <v>25</v>
      </c>
      <c r="G296" s="3" t="s">
        <v>25</v>
      </c>
      <c r="H296" s="3" t="s">
        <v>25</v>
      </c>
      <c r="I296" s="6">
        <v>44501</v>
      </c>
      <c r="J296" s="4">
        <v>0</v>
      </c>
      <c r="K296" s="4">
        <v>0</v>
      </c>
      <c r="L296" s="4">
        <v>9.8580000000000005</v>
      </c>
      <c r="M296" s="4">
        <v>9.8580000000000005</v>
      </c>
      <c r="N296" s="4">
        <v>9.8580000000000005</v>
      </c>
      <c r="O296" s="4">
        <v>9.8580000000000005</v>
      </c>
      <c r="P296" s="4">
        <v>32</v>
      </c>
      <c r="Q296" s="3" t="s">
        <v>26</v>
      </c>
      <c r="R296" s="3">
        <v>0</v>
      </c>
      <c r="S296" s="4">
        <v>0</v>
      </c>
      <c r="T296" s="4">
        <v>9</v>
      </c>
      <c r="U296" s="4">
        <v>37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187.16</v>
      </c>
      <c r="X296" s="4">
        <f>IF(ISERROR(VLOOKUP($U$296,'TAR FIN'!$A$1:$O$85,15,0)),0,VLOOKUP($U$296,'TAR FIN'!$A$1:$O$85,15,0))</f>
        <v>160.75</v>
      </c>
      <c r="Y296" s="4"/>
      <c r="Z296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296" s="4">
        <f>('TE BE'!$AB$12+'TE BF'!$AB$12+'TE CVA'!$AB$12)*(1-CUSTOS!$M$35)</f>
        <v>111.25249439721334</v>
      </c>
      <c r="AB296" s="4">
        <f>$K$296*$V$296</f>
        <v>0</v>
      </c>
      <c r="AC296" s="4">
        <f>$M$296*$W$296</f>
        <v>1845.0232800000001</v>
      </c>
      <c r="AD296" s="4">
        <f>$O$296*$X$296</f>
        <v>1584.6735000000001</v>
      </c>
      <c r="AE296" s="4">
        <f>$K$296*$Y$296</f>
        <v>0</v>
      </c>
      <c r="AF296" s="4">
        <f ca="1">$M$296*$Z$296</f>
        <v>1941.211201104049</v>
      </c>
      <c r="AG296" s="4">
        <f>$O$296*$AA$296</f>
        <v>1096.7270897677292</v>
      </c>
    </row>
    <row r="297" spans="1:33" ht="11.25" customHeight="1" x14ac:dyDescent="0.25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30</v>
      </c>
      <c r="F297" s="3" t="s">
        <v>25</v>
      </c>
      <c r="G297" s="3" t="s">
        <v>25</v>
      </c>
      <c r="H297" s="3" t="s">
        <v>25</v>
      </c>
      <c r="I297" s="6">
        <v>44531</v>
      </c>
      <c r="J297" s="4">
        <v>0</v>
      </c>
      <c r="K297" s="4">
        <v>0</v>
      </c>
      <c r="L297" s="4">
        <v>11.009</v>
      </c>
      <c r="M297" s="4">
        <v>11.009</v>
      </c>
      <c r="N297" s="4">
        <v>11.009</v>
      </c>
      <c r="O297" s="4">
        <v>11.009</v>
      </c>
      <c r="P297" s="4">
        <v>27</v>
      </c>
      <c r="Q297" s="3" t="s">
        <v>26</v>
      </c>
      <c r="R297" s="3">
        <v>0</v>
      </c>
      <c r="S297" s="4">
        <v>0</v>
      </c>
      <c r="T297" s="4">
        <v>9</v>
      </c>
      <c r="U297" s="4">
        <v>37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187.16</v>
      </c>
      <c r="X297" s="4">
        <f>IF(ISERROR(VLOOKUP($U$297,'TAR FIN'!$A$1:$O$85,15,0)),0,VLOOKUP($U$297,'TAR FIN'!$A$1:$O$85,15,0))</f>
        <v>160.75</v>
      </c>
      <c r="Y297" s="4"/>
      <c r="Z297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297" s="4">
        <f>('TE BE'!$AB$12+'TE BF'!$AB$12+'TE CVA'!$AB$12)*(1-CUSTOS!$M$35)</f>
        <v>111.25249439721334</v>
      </c>
      <c r="AB297" s="4">
        <f>$K$297*$V$297</f>
        <v>0</v>
      </c>
      <c r="AC297" s="4">
        <f>$M$297*$W$297</f>
        <v>2060.4444400000002</v>
      </c>
      <c r="AD297" s="4">
        <f>$O$297*$X$297</f>
        <v>1769.6967500000001</v>
      </c>
      <c r="AE297" s="4">
        <f>$K$297*$Y$297</f>
        <v>0</v>
      </c>
      <c r="AF297" s="4">
        <f ca="1">$M$297*$Z$297</f>
        <v>2167.8630668446413</v>
      </c>
      <c r="AG297" s="4">
        <f>$O$297*$AA$297</f>
        <v>1224.7787108189218</v>
      </c>
    </row>
    <row r="298" spans="1:3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30</v>
      </c>
      <c r="F298" s="3" t="s">
        <v>25</v>
      </c>
      <c r="G298" s="3" t="s">
        <v>25</v>
      </c>
      <c r="H298" s="3" t="s">
        <v>25</v>
      </c>
      <c r="I298" s="6">
        <v>44562</v>
      </c>
      <c r="J298" s="4">
        <v>0</v>
      </c>
      <c r="K298" s="4">
        <v>0</v>
      </c>
      <c r="L298" s="4">
        <v>10.821</v>
      </c>
      <c r="M298" s="4">
        <v>10.821</v>
      </c>
      <c r="N298" s="4">
        <v>10.821</v>
      </c>
      <c r="O298" s="4">
        <v>10.821</v>
      </c>
      <c r="P298" s="4">
        <v>31</v>
      </c>
      <c r="Q298" s="3" t="s">
        <v>26</v>
      </c>
      <c r="R298" s="3">
        <v>0</v>
      </c>
      <c r="S298" s="4">
        <v>0</v>
      </c>
      <c r="T298" s="4">
        <v>9</v>
      </c>
      <c r="U298" s="4">
        <v>37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187.16</v>
      </c>
      <c r="X298" s="4">
        <f>IF(ISERROR(VLOOKUP($U$298,'TAR FIN'!$A$1:$O$85,15,0)),0,VLOOKUP($U$298,'TAR FIN'!$A$1:$O$85,15,0))</f>
        <v>160.75</v>
      </c>
      <c r="Y298" s="4"/>
      <c r="Z298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298" s="4">
        <f>('TE BE'!$AB$12+'TE BF'!$AB$12+'TE CVA'!$AB$12)*(1-CUSTOS!$M$35)</f>
        <v>111.25249439721334</v>
      </c>
      <c r="AB298" s="4">
        <f>$K$298*$V$298</f>
        <v>0</v>
      </c>
      <c r="AC298" s="4">
        <f>$M$298*$W$298</f>
        <v>2025.2583599999998</v>
      </c>
      <c r="AD298" s="4">
        <f>$O$298*$X$298</f>
        <v>1739.4757500000001</v>
      </c>
      <c r="AE298" s="4">
        <f>$K$298*$Y$298</f>
        <v>0</v>
      </c>
      <c r="AF298" s="4">
        <f ca="1">$M$298*$Z$298</f>
        <v>2130.8426057158563</v>
      </c>
      <c r="AG298" s="4">
        <f>$O$298*$AA$298</f>
        <v>1203.8632418722455</v>
      </c>
    </row>
    <row r="299" spans="1:33" ht="11.25" customHeight="1" x14ac:dyDescent="0.25">
      <c r="A299" s="3" t="s">
        <v>27</v>
      </c>
      <c r="B299" s="3" t="s">
        <v>22</v>
      </c>
      <c r="C299" s="3" t="s">
        <v>23</v>
      </c>
      <c r="D299" s="3" t="s">
        <v>24</v>
      </c>
      <c r="E299" s="3" t="s">
        <v>30</v>
      </c>
      <c r="F299" s="3" t="s">
        <v>25</v>
      </c>
      <c r="G299" s="3" t="s">
        <v>25</v>
      </c>
      <c r="H299" s="3" t="s">
        <v>25</v>
      </c>
      <c r="I299" s="6">
        <v>44562</v>
      </c>
      <c r="J299" s="4">
        <v>0</v>
      </c>
      <c r="K299" s="4">
        <v>0</v>
      </c>
      <c r="L299" s="4">
        <v>-7.0000000000000007E-2</v>
      </c>
      <c r="M299" s="4">
        <v>-7.0000000000000007E-2</v>
      </c>
      <c r="N299" s="4">
        <v>-7.0000000000000007E-2</v>
      </c>
      <c r="O299" s="4">
        <v>-7.0000000000000007E-2</v>
      </c>
      <c r="P299" s="4">
        <v>0</v>
      </c>
      <c r="Q299" s="3" t="s">
        <v>26</v>
      </c>
      <c r="R299" s="3">
        <v>0</v>
      </c>
      <c r="S299" s="4">
        <v>0</v>
      </c>
      <c r="T299" s="4">
        <v>9</v>
      </c>
      <c r="U299" s="4">
        <v>37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187.16</v>
      </c>
      <c r="X299" s="4">
        <f>IF(ISERROR(VLOOKUP($U$299,'TAR FIN'!$A$1:$O$85,15,0)),0,VLOOKUP($U$299,'TAR FIN'!$A$1:$O$85,15,0))</f>
        <v>160.75</v>
      </c>
      <c r="Y299" s="4"/>
      <c r="Z299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299" s="4">
        <f>('TE BE'!$AB$12+'TE BF'!$AB$12+'TE CVA'!$AB$12)*(1-CUSTOS!$M$35)</f>
        <v>111.25249439721334</v>
      </c>
      <c r="AB299" s="4">
        <f>$K$299*$V$299</f>
        <v>0</v>
      </c>
      <c r="AC299" s="4">
        <f>$M$299*$W$299</f>
        <v>-13.1012</v>
      </c>
      <c r="AD299" s="4">
        <f>$O$299*$X$299</f>
        <v>-11.252500000000001</v>
      </c>
      <c r="AE299" s="4">
        <f>$K$299*$Y$299</f>
        <v>0</v>
      </c>
      <c r="AF299" s="4">
        <f ca="1">$M$299*$Z$299</f>
        <v>-13.784214250079472</v>
      </c>
      <c r="AG299" s="4">
        <f>$O$299*$AA$299</f>
        <v>-7.7876746078049344</v>
      </c>
    </row>
    <row r="300" spans="1:3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30</v>
      </c>
      <c r="F300" s="3" t="s">
        <v>25</v>
      </c>
      <c r="G300" s="3" t="s">
        <v>25</v>
      </c>
      <c r="H300" s="3" t="s">
        <v>25</v>
      </c>
      <c r="I300" s="6">
        <v>44593</v>
      </c>
      <c r="J300" s="4">
        <v>0</v>
      </c>
      <c r="K300" s="4">
        <v>0</v>
      </c>
      <c r="L300" s="4">
        <v>12.329000000000001</v>
      </c>
      <c r="M300" s="4">
        <v>12.329000000000001</v>
      </c>
      <c r="N300" s="4">
        <v>12.329000000000001</v>
      </c>
      <c r="O300" s="4">
        <v>12.329000000000001</v>
      </c>
      <c r="P300" s="4">
        <v>30</v>
      </c>
      <c r="Q300" s="3" t="s">
        <v>26</v>
      </c>
      <c r="R300" s="3">
        <v>0</v>
      </c>
      <c r="S300" s="4">
        <v>0</v>
      </c>
      <c r="T300" s="4">
        <v>9</v>
      </c>
      <c r="U300" s="4">
        <v>37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187.16</v>
      </c>
      <c r="X300" s="4">
        <f>IF(ISERROR(VLOOKUP($U$300,'TAR FIN'!$A$1:$O$85,15,0)),0,VLOOKUP($U$300,'TAR FIN'!$A$1:$O$85,15,0))</f>
        <v>160.75</v>
      </c>
      <c r="Y300" s="4"/>
      <c r="Z300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0" s="4">
        <f>('TE BE'!$AB$12+'TE BF'!$AB$12+'TE CVA'!$AB$12)*(1-CUSTOS!$M$35)</f>
        <v>111.25249439721334</v>
      </c>
      <c r="AB300" s="4">
        <f>$K$300*$V$300</f>
        <v>0</v>
      </c>
      <c r="AC300" s="4">
        <f>$M$300*$W$300</f>
        <v>2307.4956400000001</v>
      </c>
      <c r="AD300" s="4">
        <f>$O$300*$X$300</f>
        <v>1981.8867500000001</v>
      </c>
      <c r="AE300" s="4">
        <f>$K$300*$Y$300</f>
        <v>0</v>
      </c>
      <c r="AF300" s="4">
        <f ca="1">$M$300*$Z$300</f>
        <v>2427.7939641318544</v>
      </c>
      <c r="AG300" s="4">
        <f>$O$300*$AA$300</f>
        <v>1371.6320034232433</v>
      </c>
    </row>
    <row r="301" spans="1:33" ht="11.25" customHeight="1" x14ac:dyDescent="0.25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30</v>
      </c>
      <c r="F301" s="3" t="s">
        <v>25</v>
      </c>
      <c r="G301" s="3" t="s">
        <v>25</v>
      </c>
      <c r="H301" s="3" t="s">
        <v>25</v>
      </c>
      <c r="I301" s="6">
        <v>44621</v>
      </c>
      <c r="J301" s="4">
        <v>0</v>
      </c>
      <c r="K301" s="4">
        <v>0</v>
      </c>
      <c r="L301" s="4">
        <v>14.779</v>
      </c>
      <c r="M301" s="4">
        <v>14.779</v>
      </c>
      <c r="N301" s="4">
        <v>14.779</v>
      </c>
      <c r="O301" s="4">
        <v>14.779</v>
      </c>
      <c r="P301" s="4">
        <v>35</v>
      </c>
      <c r="Q301" s="3" t="s">
        <v>26</v>
      </c>
      <c r="R301" s="3">
        <v>0</v>
      </c>
      <c r="S301" s="4">
        <v>0</v>
      </c>
      <c r="T301" s="4">
        <v>9</v>
      </c>
      <c r="U301" s="4">
        <v>37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187.16</v>
      </c>
      <c r="X301" s="4">
        <f>IF(ISERROR(VLOOKUP($U$301,'TAR FIN'!$A$1:$O$85,15,0)),0,VLOOKUP($U$301,'TAR FIN'!$A$1:$O$85,15,0))</f>
        <v>160.75</v>
      </c>
      <c r="Y301" s="4"/>
      <c r="Z301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1" s="4">
        <f>('TE BE'!$AB$12+'TE BF'!$AB$12+'TE CVA'!$AB$12)*(1-CUSTOS!$M$35)</f>
        <v>111.25249439721334</v>
      </c>
      <c r="AB301" s="4">
        <f>$K$301*$V$301</f>
        <v>0</v>
      </c>
      <c r="AC301" s="4">
        <f>$M$301*$W$301</f>
        <v>2766.03764</v>
      </c>
      <c r="AD301" s="4">
        <f>$O$301*$X$301</f>
        <v>2375.7242500000002</v>
      </c>
      <c r="AE301" s="4">
        <f>$K$301*$Y$301</f>
        <v>0</v>
      </c>
      <c r="AF301" s="4">
        <f ca="1">$M$301*$Z$301</f>
        <v>2910.2414628846359</v>
      </c>
      <c r="AG301" s="4">
        <f>$O$301*$AA$301</f>
        <v>1644.2006146964159</v>
      </c>
    </row>
    <row r="302" spans="1:3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30</v>
      </c>
      <c r="F302" s="3" t="s">
        <v>25</v>
      </c>
      <c r="G302" s="3" t="s">
        <v>25</v>
      </c>
      <c r="H302" s="3" t="s">
        <v>25</v>
      </c>
      <c r="I302" s="6">
        <v>44652</v>
      </c>
      <c r="J302" s="4">
        <v>0</v>
      </c>
      <c r="K302" s="4">
        <v>0</v>
      </c>
      <c r="L302" s="4">
        <v>15.113</v>
      </c>
      <c r="M302" s="4">
        <v>15.113</v>
      </c>
      <c r="N302" s="4">
        <v>15.113</v>
      </c>
      <c r="O302" s="4">
        <v>15.113</v>
      </c>
      <c r="P302" s="4">
        <v>43</v>
      </c>
      <c r="Q302" s="3" t="s">
        <v>26</v>
      </c>
      <c r="R302" s="3">
        <v>0</v>
      </c>
      <c r="S302" s="4">
        <v>0</v>
      </c>
      <c r="T302" s="4">
        <v>9</v>
      </c>
      <c r="U302" s="4">
        <v>37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187.16</v>
      </c>
      <c r="X302" s="4">
        <f>IF(ISERROR(VLOOKUP($U$302,'TAR FIN'!$A$1:$O$85,15,0)),0,VLOOKUP($U$302,'TAR FIN'!$A$1:$O$85,15,0))</f>
        <v>160.75</v>
      </c>
      <c r="Y302" s="4"/>
      <c r="Z302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2" s="4">
        <f>('TE BE'!$AB$12+'TE BF'!$AB$12+'TE CVA'!$AB$12)*(1-CUSTOS!$M$35)</f>
        <v>111.25249439721334</v>
      </c>
      <c r="AB302" s="4">
        <f>$K$302*$V$302</f>
        <v>0</v>
      </c>
      <c r="AC302" s="4">
        <f>$M$302*$W$302</f>
        <v>2828.5490799999998</v>
      </c>
      <c r="AD302" s="4">
        <f>$O$302*$X$302</f>
        <v>2429.4147499999999</v>
      </c>
      <c r="AE302" s="4">
        <f>$K$302*$Y$302</f>
        <v>0</v>
      </c>
      <c r="AF302" s="4">
        <f ca="1">$M$302*$Z$302</f>
        <v>2976.0118565921575</v>
      </c>
      <c r="AG302" s="4">
        <f>$O$302*$AA$302</f>
        <v>1681.3589478250851</v>
      </c>
    </row>
    <row r="303" spans="1:33" ht="11.25" customHeight="1" x14ac:dyDescent="0.25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30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15.212999999999999</v>
      </c>
      <c r="M303" s="4">
        <v>15.212999999999999</v>
      </c>
      <c r="N303" s="4">
        <v>15.212999999999999</v>
      </c>
      <c r="O303" s="4">
        <v>15.212999999999999</v>
      </c>
      <c r="P303" s="4">
        <v>43</v>
      </c>
      <c r="Q303" s="3" t="s">
        <v>26</v>
      </c>
      <c r="R303" s="3">
        <v>0</v>
      </c>
      <c r="S303" s="4">
        <v>0</v>
      </c>
      <c r="T303" s="4">
        <v>9</v>
      </c>
      <c r="U303" s="4">
        <v>37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187.16</v>
      </c>
      <c r="X303" s="4">
        <f>IF(ISERROR(VLOOKUP($U$303,'TAR FIN'!$A$1:$O$85,15,0)),0,VLOOKUP($U$303,'TAR FIN'!$A$1:$O$85,15,0))</f>
        <v>160.75</v>
      </c>
      <c r="Y303" s="4"/>
      <c r="Z303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3" s="4">
        <f>('TE BE'!$AB$12+'TE BF'!$AB$12+'TE CVA'!$AB$12)*(1-CUSTOS!$M$35)</f>
        <v>111.25249439721334</v>
      </c>
      <c r="AB303" s="4">
        <f>$K$303*$V$303</f>
        <v>0</v>
      </c>
      <c r="AC303" s="4">
        <f>$M$303*$W$303</f>
        <v>2847.2650799999997</v>
      </c>
      <c r="AD303" s="4">
        <f>$O$303*$X$303</f>
        <v>2445.4897499999997</v>
      </c>
      <c r="AE303" s="4">
        <f>$K$303*$Y$303</f>
        <v>0</v>
      </c>
      <c r="AF303" s="4">
        <f ca="1">$M$303*$Z$303</f>
        <v>2995.7035912351284</v>
      </c>
      <c r="AG303" s="4">
        <f>$O$303*$AA$303</f>
        <v>1692.4841972648064</v>
      </c>
    </row>
    <row r="304" spans="1:3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30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13.866</v>
      </c>
      <c r="M304" s="4">
        <v>13.866</v>
      </c>
      <c r="N304" s="4">
        <v>13.866</v>
      </c>
      <c r="O304" s="4">
        <v>13.866</v>
      </c>
      <c r="P304" s="4">
        <v>47</v>
      </c>
      <c r="Q304" s="3" t="s">
        <v>26</v>
      </c>
      <c r="R304" s="3">
        <v>0</v>
      </c>
      <c r="S304" s="4">
        <v>0</v>
      </c>
      <c r="T304" s="4">
        <v>9</v>
      </c>
      <c r="U304" s="4">
        <v>37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187.16</v>
      </c>
      <c r="X304" s="4">
        <f>IF(ISERROR(VLOOKUP($U$304,'TAR FIN'!$A$1:$O$85,15,0)),0,VLOOKUP($U$304,'TAR FIN'!$A$1:$O$85,15,0))</f>
        <v>160.75</v>
      </c>
      <c r="Y304" s="4"/>
      <c r="Z304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4" s="4">
        <f>('TE BE'!$AB$12+'TE BF'!$AB$12+'TE CVA'!$AB$12)*(1-CUSTOS!$M$35)</f>
        <v>111.25249439721334</v>
      </c>
      <c r="AB304" s="4">
        <f>$K$304*$V$304</f>
        <v>0</v>
      </c>
      <c r="AC304" s="4">
        <f>$M$304*$W$304</f>
        <v>2595.1605599999998</v>
      </c>
      <c r="AD304" s="4">
        <f>$O$304*$X$304</f>
        <v>2228.9594999999999</v>
      </c>
      <c r="AE304" s="4">
        <f>$K$304*$Y$304</f>
        <v>0</v>
      </c>
      <c r="AF304" s="4">
        <f ca="1">$M$304*$Z$304</f>
        <v>2730.4559255943136</v>
      </c>
      <c r="AG304" s="4">
        <f>$O$304*$AA$304</f>
        <v>1542.6270873117601</v>
      </c>
    </row>
    <row r="305" spans="1:33" ht="11.25" customHeight="1" x14ac:dyDescent="0.25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30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0</v>
      </c>
      <c r="K305" s="4">
        <v>0</v>
      </c>
      <c r="L305" s="4">
        <v>13.898999999999999</v>
      </c>
      <c r="M305" s="4">
        <v>13.898999999999999</v>
      </c>
      <c r="N305" s="4">
        <v>13.898999999999999</v>
      </c>
      <c r="O305" s="4">
        <v>13.898999999999999</v>
      </c>
      <c r="P305" s="4">
        <v>39</v>
      </c>
      <c r="Q305" s="3" t="s">
        <v>26</v>
      </c>
      <c r="R305" s="3">
        <v>0</v>
      </c>
      <c r="S305" s="4">
        <v>0</v>
      </c>
      <c r="T305" s="4">
        <v>9</v>
      </c>
      <c r="U305" s="4">
        <v>37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187.16</v>
      </c>
      <c r="X305" s="4">
        <f>IF(ISERROR(VLOOKUP($U$305,'TAR FIN'!$A$1:$O$85,15,0)),0,VLOOKUP($U$305,'TAR FIN'!$A$1:$O$85,15,0))</f>
        <v>160.75</v>
      </c>
      <c r="Y305" s="4"/>
      <c r="Z305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5" s="4">
        <f>('TE BE'!$AB$12+'TE BF'!$AB$12+'TE CVA'!$AB$12)*(1-CUSTOS!$M$35)</f>
        <v>111.25249439721334</v>
      </c>
      <c r="AB305" s="4">
        <f>$K$305*$V$305</f>
        <v>0</v>
      </c>
      <c r="AC305" s="4">
        <f>$M$305*$W$305</f>
        <v>2601.3368399999999</v>
      </c>
      <c r="AD305" s="4">
        <f>$O$305*$X$305</f>
        <v>2234.2642499999997</v>
      </c>
      <c r="AE305" s="4">
        <f>$K$305*$Y$305</f>
        <v>0</v>
      </c>
      <c r="AF305" s="4">
        <f ca="1">$M$305*$Z$305</f>
        <v>2736.9541980264935</v>
      </c>
      <c r="AG305" s="4">
        <f>$O$305*$AA$305</f>
        <v>1546.2984196268681</v>
      </c>
    </row>
    <row r="306" spans="1:3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30</v>
      </c>
      <c r="F306" s="3" t="s">
        <v>25</v>
      </c>
      <c r="G306" s="3" t="s">
        <v>25</v>
      </c>
      <c r="H306" s="3" t="s">
        <v>25</v>
      </c>
      <c r="I306" s="6">
        <v>44774</v>
      </c>
      <c r="J306" s="4">
        <v>0</v>
      </c>
      <c r="K306" s="4">
        <v>0</v>
      </c>
      <c r="L306" s="4">
        <v>13.744999999999999</v>
      </c>
      <c r="M306" s="4">
        <v>13.744999999999999</v>
      </c>
      <c r="N306" s="4">
        <v>13.744999999999999</v>
      </c>
      <c r="O306" s="4">
        <v>13.744999999999999</v>
      </c>
      <c r="P306" s="4">
        <v>43</v>
      </c>
      <c r="Q306" s="3" t="s">
        <v>26</v>
      </c>
      <c r="R306" s="3">
        <v>0</v>
      </c>
      <c r="S306" s="4">
        <v>0</v>
      </c>
      <c r="T306" s="4">
        <v>9</v>
      </c>
      <c r="U306" s="4">
        <v>37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187.16</v>
      </c>
      <c r="X306" s="4">
        <f>IF(ISERROR(VLOOKUP($U$306,'TAR FIN'!$A$1:$O$85,15,0)),0,VLOOKUP($U$306,'TAR FIN'!$A$1:$O$85,15,0))</f>
        <v>160.75</v>
      </c>
      <c r="Y306" s="4"/>
      <c r="Z306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306" s="4">
        <f>('TE BE'!$AB$12+'TE BF'!$AB$12+'TE CVA'!$AB$12)*(1-CUSTOS!$M$35)</f>
        <v>111.25249439721334</v>
      </c>
      <c r="AB306" s="4">
        <f>$K$306*$V$306</f>
        <v>0</v>
      </c>
      <c r="AC306" s="4">
        <f>$M$306*$W$306</f>
        <v>2572.5141999999996</v>
      </c>
      <c r="AD306" s="4">
        <f>$O$306*$X$306</f>
        <v>2209.50875</v>
      </c>
      <c r="AE306" s="4">
        <f>$K$306*$Y$306</f>
        <v>0</v>
      </c>
      <c r="AF306" s="4">
        <f ca="1">$M$306*$Z$306</f>
        <v>2706.6289266763188</v>
      </c>
      <c r="AG306" s="4">
        <f>$O$306*$AA$306</f>
        <v>1529.1655354896973</v>
      </c>
    </row>
    <row r="307" spans="1:33" ht="11.25" customHeight="1" x14ac:dyDescent="0.25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31</v>
      </c>
      <c r="F307" s="3" t="s">
        <v>25</v>
      </c>
      <c r="G307" s="3" t="s">
        <v>25</v>
      </c>
      <c r="H307" s="3" t="s">
        <v>25</v>
      </c>
      <c r="I307" s="6">
        <v>44440</v>
      </c>
      <c r="J307" s="4">
        <v>0</v>
      </c>
      <c r="K307" s="4">
        <v>0</v>
      </c>
      <c r="L307" s="4">
        <v>8.6289999999999996</v>
      </c>
      <c r="M307" s="4">
        <v>8.6289999999999996</v>
      </c>
      <c r="N307" s="4">
        <v>8.6289999999999996</v>
      </c>
      <c r="O307" s="4">
        <v>8.6289999999999996</v>
      </c>
      <c r="P307" s="4">
        <v>87</v>
      </c>
      <c r="Q307" s="3" t="s">
        <v>26</v>
      </c>
      <c r="R307" s="3">
        <v>0</v>
      </c>
      <c r="S307" s="4">
        <v>0</v>
      </c>
      <c r="T307" s="4">
        <v>42</v>
      </c>
      <c r="U307" s="4">
        <v>48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280.74</v>
      </c>
      <c r="X307" s="4">
        <f>IF(ISERROR(VLOOKUP($U$307,'TAR FIN'!$A$1:$O$85,15,0)),0,VLOOKUP($U$307,'TAR FIN'!$A$1:$O$85,15,0))</f>
        <v>241.12</v>
      </c>
      <c r="Y307" s="4"/>
      <c r="Z307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07" s="4">
        <f>('TE BE'!$AB$13+'TE BF'!$AB$13+'TE CVA'!$AB$13)*(1-CUSTOS!$M$36)</f>
        <v>166.87874159582</v>
      </c>
      <c r="AB307" s="4">
        <f>$K$307*$V$307</f>
        <v>0</v>
      </c>
      <c r="AC307" s="4">
        <f>$M$307*$W$307</f>
        <v>2422.5054599999999</v>
      </c>
      <c r="AD307" s="4">
        <f>$O$307*$X$307</f>
        <v>2080.6244799999999</v>
      </c>
      <c r="AE307" s="4">
        <f>$K$307*$Y$307</f>
        <v>0</v>
      </c>
      <c r="AF307" s="4">
        <f ca="1">$M$307*$Z$307</f>
        <v>2548.7996735129086</v>
      </c>
      <c r="AG307" s="4">
        <f>$O$307*$AA$307</f>
        <v>1439.9966612303308</v>
      </c>
    </row>
    <row r="308" spans="1:3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31</v>
      </c>
      <c r="F308" s="3" t="s">
        <v>25</v>
      </c>
      <c r="G308" s="3" t="s">
        <v>25</v>
      </c>
      <c r="H308" s="3" t="s">
        <v>25</v>
      </c>
      <c r="I308" s="6">
        <v>44470</v>
      </c>
      <c r="J308" s="4">
        <v>0</v>
      </c>
      <c r="K308" s="4">
        <v>0</v>
      </c>
      <c r="L308" s="4">
        <v>9.2449999999999992</v>
      </c>
      <c r="M308" s="4">
        <v>9.2449999999999992</v>
      </c>
      <c r="N308" s="4">
        <v>9.2449999999999992</v>
      </c>
      <c r="O308" s="4">
        <v>9.2449999999999992</v>
      </c>
      <c r="P308" s="4">
        <v>82</v>
      </c>
      <c r="Q308" s="3" t="s">
        <v>26</v>
      </c>
      <c r="R308" s="3">
        <v>0</v>
      </c>
      <c r="S308" s="4">
        <v>0</v>
      </c>
      <c r="T308" s="4">
        <v>42</v>
      </c>
      <c r="U308" s="4">
        <v>48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280.74</v>
      </c>
      <c r="X308" s="4">
        <f>IF(ISERROR(VLOOKUP($U$308,'TAR FIN'!$A$1:$O$85,15,0)),0,VLOOKUP($U$308,'TAR FIN'!$A$1:$O$85,15,0))</f>
        <v>241.12</v>
      </c>
      <c r="Y308" s="4"/>
      <c r="Z308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08" s="4">
        <f>('TE BE'!$AB$13+'TE BF'!$AB$13+'TE CVA'!$AB$13)*(1-CUSTOS!$M$36)</f>
        <v>166.87874159582</v>
      </c>
      <c r="AB308" s="4">
        <f>$K$308*$V$308</f>
        <v>0</v>
      </c>
      <c r="AC308" s="4">
        <f>$M$308*$W$308</f>
        <v>2595.4413</v>
      </c>
      <c r="AD308" s="4">
        <f>$O$308*$X$308</f>
        <v>2229.1543999999999</v>
      </c>
      <c r="AE308" s="4">
        <f>$K$308*$Y$308</f>
        <v>0</v>
      </c>
      <c r="AF308" s="4">
        <f ca="1">$M$308*$Z$308</f>
        <v>2730.7513016139578</v>
      </c>
      <c r="AG308" s="4">
        <f>$O$308*$AA$308</f>
        <v>1542.7939660533557</v>
      </c>
    </row>
    <row r="309" spans="1:33" ht="11.25" customHeight="1" x14ac:dyDescent="0.25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31</v>
      </c>
      <c r="F309" s="3" t="s">
        <v>25</v>
      </c>
      <c r="G309" s="3" t="s">
        <v>25</v>
      </c>
      <c r="H309" s="3" t="s">
        <v>25</v>
      </c>
      <c r="I309" s="6">
        <v>44501</v>
      </c>
      <c r="J309" s="4">
        <v>0</v>
      </c>
      <c r="K309" s="4">
        <v>0</v>
      </c>
      <c r="L309" s="4">
        <v>8.7720000000000002</v>
      </c>
      <c r="M309" s="4">
        <v>8.7720000000000002</v>
      </c>
      <c r="N309" s="4">
        <v>8.7720000000000002</v>
      </c>
      <c r="O309" s="4">
        <v>8.7720000000000002</v>
      </c>
      <c r="P309" s="4">
        <v>85</v>
      </c>
      <c r="Q309" s="3" t="s">
        <v>26</v>
      </c>
      <c r="R309" s="3">
        <v>0</v>
      </c>
      <c r="S309" s="4">
        <v>0</v>
      </c>
      <c r="T309" s="4">
        <v>42</v>
      </c>
      <c r="U309" s="4">
        <v>48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280.74</v>
      </c>
      <c r="X309" s="4">
        <f>IF(ISERROR(VLOOKUP($U$309,'TAR FIN'!$A$1:$O$85,15,0)),0,VLOOKUP($U$309,'TAR FIN'!$A$1:$O$85,15,0))</f>
        <v>241.12</v>
      </c>
      <c r="Y309" s="4"/>
      <c r="Z309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09" s="4">
        <f>('TE BE'!$AB$13+'TE BF'!$AB$13+'TE CVA'!$AB$13)*(1-CUSTOS!$M$36)</f>
        <v>166.87874159582</v>
      </c>
      <c r="AB309" s="4">
        <f>$K$309*$V$309</f>
        <v>0</v>
      </c>
      <c r="AC309" s="4">
        <f>$M$309*$W$309</f>
        <v>2462.65128</v>
      </c>
      <c r="AD309" s="4">
        <f>$O$309*$X$309</f>
        <v>2115.10464</v>
      </c>
      <c r="AE309" s="4">
        <f>$K$309*$Y$309</f>
        <v>0</v>
      </c>
      <c r="AF309" s="4">
        <f ca="1">$M$309*$Z$309</f>
        <v>2591.038444322081</v>
      </c>
      <c r="AG309" s="4">
        <f>$O$309*$AA$309</f>
        <v>1463.8603212785331</v>
      </c>
    </row>
    <row r="310" spans="1:3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31</v>
      </c>
      <c r="F310" s="3" t="s">
        <v>25</v>
      </c>
      <c r="G310" s="3" t="s">
        <v>25</v>
      </c>
      <c r="H310" s="3" t="s">
        <v>25</v>
      </c>
      <c r="I310" s="6">
        <v>44531</v>
      </c>
      <c r="J310" s="4">
        <v>0</v>
      </c>
      <c r="K310" s="4">
        <v>0</v>
      </c>
      <c r="L310" s="4">
        <v>11.242000000000001</v>
      </c>
      <c r="M310" s="4">
        <v>11.242000000000001</v>
      </c>
      <c r="N310" s="4">
        <v>11.242000000000001</v>
      </c>
      <c r="O310" s="4">
        <v>11.242000000000001</v>
      </c>
      <c r="P310" s="4">
        <v>88</v>
      </c>
      <c r="Q310" s="3" t="s">
        <v>26</v>
      </c>
      <c r="R310" s="3">
        <v>0</v>
      </c>
      <c r="S310" s="4">
        <v>0</v>
      </c>
      <c r="T310" s="4">
        <v>42</v>
      </c>
      <c r="U310" s="4">
        <v>48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280.74</v>
      </c>
      <c r="X310" s="4">
        <f>IF(ISERROR(VLOOKUP($U$310,'TAR FIN'!$A$1:$O$85,15,0)),0,VLOOKUP($U$310,'TAR FIN'!$A$1:$O$85,15,0))</f>
        <v>241.12</v>
      </c>
      <c r="Y310" s="4"/>
      <c r="Z310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0" s="4">
        <f>('TE BE'!$AB$13+'TE BF'!$AB$13+'TE CVA'!$AB$13)*(1-CUSTOS!$M$36)</f>
        <v>166.87874159582</v>
      </c>
      <c r="AB310" s="4">
        <f>$K$310*$V$310</f>
        <v>0</v>
      </c>
      <c r="AC310" s="4">
        <f>$M$310*$W$310</f>
        <v>3156.0790800000004</v>
      </c>
      <c r="AD310" s="4">
        <f>$O$310*$X$310</f>
        <v>2710.6710400000002</v>
      </c>
      <c r="AE310" s="4">
        <f>$K$310*$Y$310</f>
        <v>0</v>
      </c>
      <c r="AF310" s="4">
        <f ca="1">$M$310*$Z$310</f>
        <v>3320.6172128441444</v>
      </c>
      <c r="AG310" s="4">
        <f>$O$310*$AA$310</f>
        <v>1876.0508130202086</v>
      </c>
    </row>
    <row r="311" spans="1:3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31</v>
      </c>
      <c r="F311" s="3" t="s">
        <v>25</v>
      </c>
      <c r="G311" s="3" t="s">
        <v>25</v>
      </c>
      <c r="H311" s="3" t="s">
        <v>25</v>
      </c>
      <c r="I311" s="6">
        <v>44562</v>
      </c>
      <c r="J311" s="4">
        <v>0</v>
      </c>
      <c r="K311" s="4">
        <v>0</v>
      </c>
      <c r="L311" s="4">
        <v>10.589</v>
      </c>
      <c r="M311" s="4">
        <v>10.589</v>
      </c>
      <c r="N311" s="4">
        <v>10.589</v>
      </c>
      <c r="O311" s="4">
        <v>10.589</v>
      </c>
      <c r="P311" s="4">
        <v>88</v>
      </c>
      <c r="Q311" s="3" t="s">
        <v>26</v>
      </c>
      <c r="R311" s="3">
        <v>0</v>
      </c>
      <c r="S311" s="4">
        <v>0</v>
      </c>
      <c r="T311" s="4">
        <v>42</v>
      </c>
      <c r="U311" s="4">
        <v>48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280.74</v>
      </c>
      <c r="X311" s="4">
        <f>IF(ISERROR(VLOOKUP($U$311,'TAR FIN'!$A$1:$O$85,15,0)),0,VLOOKUP($U$311,'TAR FIN'!$A$1:$O$85,15,0))</f>
        <v>241.12</v>
      </c>
      <c r="Y311" s="4"/>
      <c r="Z311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1" s="4">
        <f>('TE BE'!$AB$13+'TE BF'!$AB$13+'TE CVA'!$AB$13)*(1-CUSTOS!$M$36)</f>
        <v>166.87874159582</v>
      </c>
      <c r="AB311" s="4">
        <f>$K$311*$V$311</f>
        <v>0</v>
      </c>
      <c r="AC311" s="4">
        <f>$M$311*$W$311</f>
        <v>2972.7558600000002</v>
      </c>
      <c r="AD311" s="4">
        <f>$O$311*$X$311</f>
        <v>2553.2196800000002</v>
      </c>
      <c r="AE311" s="4">
        <f>$K$311*$Y$311</f>
        <v>0</v>
      </c>
      <c r="AF311" s="4">
        <f ca="1">$M$311*$Z$311</f>
        <v>3127.7366720162468</v>
      </c>
      <c r="AG311" s="4">
        <f>$O$311*$AA$311</f>
        <v>1767.0789947581382</v>
      </c>
    </row>
    <row r="312" spans="1:33" ht="11.25" customHeight="1" x14ac:dyDescent="0.25">
      <c r="A312" s="3" t="s">
        <v>27</v>
      </c>
      <c r="B312" s="3" t="s">
        <v>22</v>
      </c>
      <c r="C312" s="3" t="s">
        <v>23</v>
      </c>
      <c r="D312" s="3" t="s">
        <v>24</v>
      </c>
      <c r="E312" s="3" t="s">
        <v>31</v>
      </c>
      <c r="F312" s="3" t="s">
        <v>25</v>
      </c>
      <c r="G312" s="3" t="s">
        <v>25</v>
      </c>
      <c r="H312" s="3" t="s">
        <v>25</v>
      </c>
      <c r="I312" s="6">
        <v>44562</v>
      </c>
      <c r="J312" s="4">
        <v>0</v>
      </c>
      <c r="K312" s="4">
        <v>0</v>
      </c>
      <c r="L312" s="4">
        <v>-0.113</v>
      </c>
      <c r="M312" s="4">
        <v>-0.113</v>
      </c>
      <c r="N312" s="4">
        <v>-0.113</v>
      </c>
      <c r="O312" s="4">
        <v>-0.113</v>
      </c>
      <c r="P312" s="4">
        <v>0</v>
      </c>
      <c r="Q312" s="3" t="s">
        <v>26</v>
      </c>
      <c r="R312" s="3">
        <v>0</v>
      </c>
      <c r="S312" s="4">
        <v>0</v>
      </c>
      <c r="T312" s="4">
        <v>42</v>
      </c>
      <c r="U312" s="4">
        <v>48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280.74</v>
      </c>
      <c r="X312" s="4">
        <f>IF(ISERROR(VLOOKUP($U$312,'TAR FIN'!$A$1:$O$85,15,0)),0,VLOOKUP($U$312,'TAR FIN'!$A$1:$O$85,15,0))</f>
        <v>241.12</v>
      </c>
      <c r="Y312" s="4"/>
      <c r="Z312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2" s="4">
        <f>('TE BE'!$AB$13+'TE BF'!$AB$13+'TE CVA'!$AB$13)*(1-CUSTOS!$M$36)</f>
        <v>166.87874159582</v>
      </c>
      <c r="AB312" s="4">
        <f>$K$312*$V$312</f>
        <v>0</v>
      </c>
      <c r="AC312" s="4">
        <f>$M$312*$W$312</f>
        <v>-31.72362</v>
      </c>
      <c r="AD312" s="4">
        <f>$O$312*$X$312</f>
        <v>-27.246560000000002</v>
      </c>
      <c r="AE312" s="4">
        <f>$K$312*$Y$312</f>
        <v>0</v>
      </c>
      <c r="AF312" s="4">
        <f ca="1">$M$312*$Z$312</f>
        <v>-33.377490219835288</v>
      </c>
      <c r="AG312" s="4">
        <f>$O$312*$AA$312</f>
        <v>-18.857297800327661</v>
      </c>
    </row>
    <row r="313" spans="1:3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31</v>
      </c>
      <c r="F313" s="3" t="s">
        <v>25</v>
      </c>
      <c r="G313" s="3" t="s">
        <v>25</v>
      </c>
      <c r="H313" s="3" t="s">
        <v>25</v>
      </c>
      <c r="I313" s="6">
        <v>44593</v>
      </c>
      <c r="J313" s="4">
        <v>0</v>
      </c>
      <c r="K313" s="4">
        <v>0</v>
      </c>
      <c r="L313" s="4">
        <v>11.867000000000001</v>
      </c>
      <c r="M313" s="4">
        <v>11.867000000000001</v>
      </c>
      <c r="N313" s="4">
        <v>11.867000000000001</v>
      </c>
      <c r="O313" s="4">
        <v>11.867000000000001</v>
      </c>
      <c r="P313" s="4">
        <v>112</v>
      </c>
      <c r="Q313" s="3" t="s">
        <v>26</v>
      </c>
      <c r="R313" s="3">
        <v>0</v>
      </c>
      <c r="S313" s="4">
        <v>0</v>
      </c>
      <c r="T313" s="4">
        <v>42</v>
      </c>
      <c r="U313" s="4">
        <v>48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280.74</v>
      </c>
      <c r="X313" s="4">
        <f>IF(ISERROR(VLOOKUP($U$313,'TAR FIN'!$A$1:$O$85,15,0)),0,VLOOKUP($U$313,'TAR FIN'!$A$1:$O$85,15,0))</f>
        <v>241.12</v>
      </c>
      <c r="Y313" s="4"/>
      <c r="Z313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3" s="4">
        <f>('TE BE'!$AB$13+'TE BF'!$AB$13+'TE CVA'!$AB$13)*(1-CUSTOS!$M$36)</f>
        <v>166.87874159582</v>
      </c>
      <c r="AB313" s="4">
        <f>$K$313*$V$313</f>
        <v>0</v>
      </c>
      <c r="AC313" s="4">
        <f>$M$313*$W$313</f>
        <v>3331.5415800000005</v>
      </c>
      <c r="AD313" s="4">
        <f>$O$313*$X$313</f>
        <v>2861.3710400000004</v>
      </c>
      <c r="AE313" s="4">
        <f>$K$313*$Y$313</f>
        <v>0</v>
      </c>
      <c r="AF313" s="4">
        <f ca="1">$M$313*$Z$313</f>
        <v>3505.2272251219947</v>
      </c>
      <c r="AG313" s="4">
        <f>$O$313*$AA$313</f>
        <v>1980.3500265175962</v>
      </c>
    </row>
    <row r="314" spans="1:3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31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14.621</v>
      </c>
      <c r="M314" s="4">
        <v>14.621</v>
      </c>
      <c r="N314" s="4">
        <v>14.621</v>
      </c>
      <c r="O314" s="4">
        <v>14.621</v>
      </c>
      <c r="P314" s="4">
        <v>131</v>
      </c>
      <c r="Q314" s="3" t="s">
        <v>26</v>
      </c>
      <c r="R314" s="3">
        <v>0</v>
      </c>
      <c r="S314" s="4">
        <v>0</v>
      </c>
      <c r="T314" s="4">
        <v>42</v>
      </c>
      <c r="U314" s="4">
        <v>48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280.74</v>
      </c>
      <c r="X314" s="4">
        <f>IF(ISERROR(VLOOKUP($U$314,'TAR FIN'!$A$1:$O$85,15,0)),0,VLOOKUP($U$314,'TAR FIN'!$A$1:$O$85,15,0))</f>
        <v>241.12</v>
      </c>
      <c r="Y314" s="4"/>
      <c r="Z314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4" s="4">
        <f>('TE BE'!$AB$13+'TE BF'!$AB$13+'TE CVA'!$AB$13)*(1-CUSTOS!$M$36)</f>
        <v>166.87874159582</v>
      </c>
      <c r="AB314" s="4">
        <f>$K$314*$V$314</f>
        <v>0</v>
      </c>
      <c r="AC314" s="4">
        <f>$M$314*$W$314</f>
        <v>4104.6995400000005</v>
      </c>
      <c r="AD314" s="4">
        <f>$O$314*$X$314</f>
        <v>3525.41552</v>
      </c>
      <c r="AE314" s="4">
        <f>$K$314*$Y$314</f>
        <v>0</v>
      </c>
      <c r="AF314" s="4">
        <f ca="1">$M$314*$Z$314</f>
        <v>4318.6927832231131</v>
      </c>
      <c r="AG314" s="4">
        <f>$O$314*$AA$314</f>
        <v>2439.9340808724842</v>
      </c>
    </row>
    <row r="315" spans="1:3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31</v>
      </c>
      <c r="F315" s="3" t="s">
        <v>25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13.91</v>
      </c>
      <c r="M315" s="4">
        <v>13.91</v>
      </c>
      <c r="N315" s="4">
        <v>13.91</v>
      </c>
      <c r="O315" s="4">
        <v>13.91</v>
      </c>
      <c r="P315" s="4">
        <v>139</v>
      </c>
      <c r="Q315" s="3" t="s">
        <v>26</v>
      </c>
      <c r="R315" s="3">
        <v>0</v>
      </c>
      <c r="S315" s="4">
        <v>0</v>
      </c>
      <c r="T315" s="4">
        <v>42</v>
      </c>
      <c r="U315" s="4">
        <v>48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280.74</v>
      </c>
      <c r="X315" s="4">
        <f>IF(ISERROR(VLOOKUP($U$315,'TAR FIN'!$A$1:$O$85,15,0)),0,VLOOKUP($U$315,'TAR FIN'!$A$1:$O$85,15,0))</f>
        <v>241.12</v>
      </c>
      <c r="Y315" s="4"/>
      <c r="Z315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5" s="4">
        <f>('TE BE'!$AB$13+'TE BF'!$AB$13+'TE CVA'!$AB$13)*(1-CUSTOS!$M$36)</f>
        <v>166.87874159582</v>
      </c>
      <c r="AB315" s="4">
        <f>$K$315*$V$315</f>
        <v>0</v>
      </c>
      <c r="AC315" s="4">
        <f>$M$315*$W$315</f>
        <v>3905.0934000000002</v>
      </c>
      <c r="AD315" s="4">
        <f>$O$315*$X$315</f>
        <v>3353.9792000000002</v>
      </c>
      <c r="AE315" s="4">
        <f>$K$315*$Y$315</f>
        <v>0</v>
      </c>
      <c r="AF315" s="4">
        <f ca="1">$M$315*$Z$315</f>
        <v>4108.6804332558304</v>
      </c>
      <c r="AG315" s="4">
        <f>$O$315*$AA$315</f>
        <v>2321.2832955978561</v>
      </c>
    </row>
    <row r="316" spans="1:3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31</v>
      </c>
      <c r="F316" s="3" t="s">
        <v>25</v>
      </c>
      <c r="G316" s="3" t="s">
        <v>25</v>
      </c>
      <c r="H316" s="3" t="s">
        <v>25</v>
      </c>
      <c r="I316" s="6">
        <v>44682</v>
      </c>
      <c r="J316" s="4">
        <v>0</v>
      </c>
      <c r="K316" s="4">
        <v>0</v>
      </c>
      <c r="L316" s="4">
        <v>13.505000000000001</v>
      </c>
      <c r="M316" s="4">
        <v>13.505000000000001</v>
      </c>
      <c r="N316" s="4">
        <v>13.505000000000001</v>
      </c>
      <c r="O316" s="4">
        <v>13.505000000000001</v>
      </c>
      <c r="P316" s="4">
        <v>152</v>
      </c>
      <c r="Q316" s="3" t="s">
        <v>26</v>
      </c>
      <c r="R316" s="3">
        <v>0</v>
      </c>
      <c r="S316" s="4">
        <v>0</v>
      </c>
      <c r="T316" s="4">
        <v>42</v>
      </c>
      <c r="U316" s="4">
        <v>48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280.74</v>
      </c>
      <c r="X316" s="4">
        <f>IF(ISERROR(VLOOKUP($U$316,'TAR FIN'!$A$1:$O$85,15,0)),0,VLOOKUP($U$316,'TAR FIN'!$A$1:$O$85,15,0))</f>
        <v>241.12</v>
      </c>
      <c r="Y316" s="4"/>
      <c r="Z316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6" s="4">
        <f>('TE BE'!$AB$13+'TE BF'!$AB$13+'TE CVA'!$AB$13)*(1-CUSTOS!$M$36)</f>
        <v>166.87874159582</v>
      </c>
      <c r="AB316" s="4">
        <f>$K$316*$V$316</f>
        <v>0</v>
      </c>
      <c r="AC316" s="4">
        <f>$M$316*$W$316</f>
        <v>3791.3937000000005</v>
      </c>
      <c r="AD316" s="4">
        <f>$O$316*$X$316</f>
        <v>3256.3256000000001</v>
      </c>
      <c r="AE316" s="4">
        <f>$K$316*$Y$316</f>
        <v>0</v>
      </c>
      <c r="AF316" s="4">
        <f ca="1">$M$316*$Z$316</f>
        <v>3989.0531452997839</v>
      </c>
      <c r="AG316" s="4">
        <f>$O$316*$AA$316</f>
        <v>2253.6974052515493</v>
      </c>
    </row>
    <row r="317" spans="1:3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31</v>
      </c>
      <c r="F317" s="3" t="s">
        <v>25</v>
      </c>
      <c r="G317" s="3" t="s">
        <v>25</v>
      </c>
      <c r="H317" s="3" t="s">
        <v>25</v>
      </c>
      <c r="I317" s="6">
        <v>44713</v>
      </c>
      <c r="J317" s="4">
        <v>0</v>
      </c>
      <c r="K317" s="4">
        <v>0</v>
      </c>
      <c r="L317" s="4">
        <v>10.781000000000001</v>
      </c>
      <c r="M317" s="4">
        <v>10.781000000000001</v>
      </c>
      <c r="N317" s="4">
        <v>10.781000000000001</v>
      </c>
      <c r="O317" s="4">
        <v>10.781000000000001</v>
      </c>
      <c r="P317" s="4">
        <v>144</v>
      </c>
      <c r="Q317" s="3" t="s">
        <v>26</v>
      </c>
      <c r="R317" s="3">
        <v>0</v>
      </c>
      <c r="S317" s="4">
        <v>0</v>
      </c>
      <c r="T317" s="4">
        <v>42</v>
      </c>
      <c r="U317" s="4">
        <v>48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280.74</v>
      </c>
      <c r="X317" s="4">
        <f>IF(ISERROR(VLOOKUP($U$317,'TAR FIN'!$A$1:$O$85,15,0)),0,VLOOKUP($U$317,'TAR FIN'!$A$1:$O$85,15,0))</f>
        <v>241.12</v>
      </c>
      <c r="Y317" s="4"/>
      <c r="Z317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7" s="4">
        <f>('TE BE'!$AB$13+'TE BF'!$AB$13+'TE CVA'!$AB$13)*(1-CUSTOS!$M$36)</f>
        <v>166.87874159582</v>
      </c>
      <c r="AB317" s="4">
        <f>$K$317*$V$317</f>
        <v>0</v>
      </c>
      <c r="AC317" s="4">
        <f>$M$317*$W$317</f>
        <v>3026.6579400000001</v>
      </c>
      <c r="AD317" s="4">
        <f>$O$317*$X$317</f>
        <v>2599.5147200000001</v>
      </c>
      <c r="AE317" s="4">
        <f>$K$317*$Y$317</f>
        <v>0</v>
      </c>
      <c r="AF317" s="4">
        <f ca="1">$M$317*$Z$317</f>
        <v>3184.4488677880022</v>
      </c>
      <c r="AG317" s="4">
        <f>$O$317*$AA$317</f>
        <v>1799.1197131445356</v>
      </c>
    </row>
    <row r="318" spans="1:3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31</v>
      </c>
      <c r="F318" s="3" t="s">
        <v>25</v>
      </c>
      <c r="G318" s="3" t="s">
        <v>25</v>
      </c>
      <c r="H318" s="3" t="s">
        <v>25</v>
      </c>
      <c r="I318" s="6">
        <v>44743</v>
      </c>
      <c r="J318" s="4">
        <v>0</v>
      </c>
      <c r="K318" s="4">
        <v>0</v>
      </c>
      <c r="L318" s="4">
        <v>10.792</v>
      </c>
      <c r="M318" s="4">
        <v>10.792</v>
      </c>
      <c r="N318" s="4">
        <v>10.792</v>
      </c>
      <c r="O318" s="4">
        <v>10.792</v>
      </c>
      <c r="P318" s="4">
        <v>149</v>
      </c>
      <c r="Q318" s="3" t="s">
        <v>26</v>
      </c>
      <c r="R318" s="3">
        <v>0</v>
      </c>
      <c r="S318" s="4">
        <v>0</v>
      </c>
      <c r="T318" s="4">
        <v>42</v>
      </c>
      <c r="U318" s="4">
        <v>48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280.74</v>
      </c>
      <c r="X318" s="4">
        <f>IF(ISERROR(VLOOKUP($U$318,'TAR FIN'!$A$1:$O$85,15,0)),0,VLOOKUP($U$318,'TAR FIN'!$A$1:$O$85,15,0))</f>
        <v>241.12</v>
      </c>
      <c r="Y318" s="4"/>
      <c r="Z318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8" s="4">
        <f>('TE BE'!$AB$13+'TE BF'!$AB$13+'TE CVA'!$AB$13)*(1-CUSTOS!$M$36)</f>
        <v>166.87874159582</v>
      </c>
      <c r="AB318" s="4">
        <f>$K$318*$V$318</f>
        <v>0</v>
      </c>
      <c r="AC318" s="4">
        <f>$M$318*$W$318</f>
        <v>3029.7460799999999</v>
      </c>
      <c r="AD318" s="4">
        <f>$O$318*$X$318</f>
        <v>2602.1670399999998</v>
      </c>
      <c r="AE318" s="4">
        <f>$K$318*$Y$318</f>
        <v>0</v>
      </c>
      <c r="AF318" s="4">
        <f ca="1">$M$318*$Z$318</f>
        <v>3187.6980040040921</v>
      </c>
      <c r="AG318" s="4">
        <f>$O$318*$AA$318</f>
        <v>1800.9553793020893</v>
      </c>
    </row>
    <row r="319" spans="1:3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31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10.227</v>
      </c>
      <c r="M319" s="4">
        <v>10.227</v>
      </c>
      <c r="N319" s="4">
        <v>10.227</v>
      </c>
      <c r="O319" s="4">
        <v>10.227</v>
      </c>
      <c r="P319" s="4">
        <v>140</v>
      </c>
      <c r="Q319" s="3" t="s">
        <v>26</v>
      </c>
      <c r="R319" s="3">
        <v>0</v>
      </c>
      <c r="S319" s="4">
        <v>0</v>
      </c>
      <c r="T319" s="4">
        <v>42</v>
      </c>
      <c r="U319" s="4">
        <v>48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280.74</v>
      </c>
      <c r="X319" s="4">
        <f>IF(ISERROR(VLOOKUP($U$319,'TAR FIN'!$A$1:$O$85,15,0)),0,VLOOKUP($U$319,'TAR FIN'!$A$1:$O$85,15,0))</f>
        <v>241.12</v>
      </c>
      <c r="Y319" s="4"/>
      <c r="Z319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319" s="4">
        <f>('TE BE'!$AB$13+'TE BF'!$AB$13+'TE CVA'!$AB$13)*(1-CUSTOS!$M$36)</f>
        <v>166.87874159582</v>
      </c>
      <c r="AB319" s="4">
        <f>$K$319*$V$319</f>
        <v>0</v>
      </c>
      <c r="AC319" s="4">
        <f>$M$319*$W$319</f>
        <v>2871.1279800000002</v>
      </c>
      <c r="AD319" s="4">
        <f>$O$319*$X$319</f>
        <v>2465.93424</v>
      </c>
      <c r="AE319" s="4">
        <f>$K$319*$Y$319</f>
        <v>0</v>
      </c>
      <c r="AF319" s="4">
        <f ca="1">$M$319*$Z$319</f>
        <v>3020.8105529049158</v>
      </c>
      <c r="AG319" s="4">
        <f>$O$319*$AA$319</f>
        <v>1706.6688903004513</v>
      </c>
    </row>
    <row r="320" spans="1:3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32</v>
      </c>
      <c r="F320" s="3" t="s">
        <v>25</v>
      </c>
      <c r="G320" s="3" t="s">
        <v>25</v>
      </c>
      <c r="H320" s="3" t="s">
        <v>25</v>
      </c>
      <c r="I320" s="6">
        <v>44440</v>
      </c>
      <c r="J320" s="4">
        <v>0</v>
      </c>
      <c r="K320" s="4">
        <v>0</v>
      </c>
      <c r="L320" s="4">
        <v>2.3250000000000002</v>
      </c>
      <c r="M320" s="4">
        <v>2.3250000000000002</v>
      </c>
      <c r="N320" s="4">
        <v>2.3250000000000002</v>
      </c>
      <c r="O320" s="4">
        <v>2.3250000000000002</v>
      </c>
      <c r="P320" s="4">
        <v>31</v>
      </c>
      <c r="Q320" s="3" t="s">
        <v>26</v>
      </c>
      <c r="R320" s="3">
        <v>0</v>
      </c>
      <c r="S320" s="4">
        <v>0</v>
      </c>
      <c r="T320" s="4">
        <v>23</v>
      </c>
      <c r="U320" s="4">
        <v>43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311.93</v>
      </c>
      <c r="X320" s="4">
        <f>IF(ISERROR(VLOOKUP($U$320,'TAR FIN'!$A$1:$O$85,15,0)),0,VLOOKUP($U$320,'TAR FIN'!$A$1:$O$85,15,0))</f>
        <v>267.91000000000003</v>
      </c>
      <c r="Y320" s="4"/>
      <c r="Z320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0" s="4">
        <f>('TE BE'!$AB$14+'TE BF'!$AB$14+'TE CVA'!$AB$14)*(1-CUSTOS!$M$37)</f>
        <v>185.42082399535556</v>
      </c>
      <c r="AB320" s="4">
        <f>$K$320*$V$320</f>
        <v>0</v>
      </c>
      <c r="AC320" s="4">
        <f>$M$320*$W$320</f>
        <v>725.23725000000002</v>
      </c>
      <c r="AD320" s="4">
        <f>$O$320*$X$320</f>
        <v>622.89075000000014</v>
      </c>
      <c r="AE320" s="4">
        <f>$K$320*$Y$320</f>
        <v>0</v>
      </c>
      <c r="AF320" s="4">
        <f ca="1">$M$320*$Z$320</f>
        <v>763.0547174151136</v>
      </c>
      <c r="AG320" s="4">
        <f>$O$320*$AA$320</f>
        <v>431.10341578920173</v>
      </c>
    </row>
    <row r="321" spans="1:3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32</v>
      </c>
      <c r="F321" s="3" t="s">
        <v>25</v>
      </c>
      <c r="G321" s="3" t="s">
        <v>25</v>
      </c>
      <c r="H321" s="3" t="s">
        <v>25</v>
      </c>
      <c r="I321" s="6">
        <v>44470</v>
      </c>
      <c r="J321" s="4">
        <v>0</v>
      </c>
      <c r="K321" s="4">
        <v>0</v>
      </c>
      <c r="L321" s="4">
        <v>3.0830000000000002</v>
      </c>
      <c r="M321" s="4">
        <v>3.0830000000000002</v>
      </c>
      <c r="N321" s="4">
        <v>3.0830000000000002</v>
      </c>
      <c r="O321" s="4">
        <v>3.0830000000000002</v>
      </c>
      <c r="P321" s="4">
        <v>41</v>
      </c>
      <c r="Q321" s="3" t="s">
        <v>26</v>
      </c>
      <c r="R321" s="3">
        <v>0</v>
      </c>
      <c r="S321" s="4">
        <v>0</v>
      </c>
      <c r="T321" s="4">
        <v>23</v>
      </c>
      <c r="U321" s="4">
        <v>43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311.93</v>
      </c>
      <c r="X321" s="4">
        <f>IF(ISERROR(VLOOKUP($U$321,'TAR FIN'!$A$1:$O$85,15,0)),0,VLOOKUP($U$321,'TAR FIN'!$A$1:$O$85,15,0))</f>
        <v>267.91000000000003</v>
      </c>
      <c r="Y321" s="4"/>
      <c r="Z321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1" s="4">
        <f>('TE BE'!$AB$14+'TE BF'!$AB$14+'TE CVA'!$AB$14)*(1-CUSTOS!$M$37)</f>
        <v>185.42082399535556</v>
      </c>
      <c r="AB321" s="4">
        <f>$K$321*$V$321</f>
        <v>0</v>
      </c>
      <c r="AC321" s="4">
        <f>$M$321*$W$321</f>
        <v>961.68019000000004</v>
      </c>
      <c r="AD321" s="4">
        <f>$O$321*$X$321</f>
        <v>825.96653000000015</v>
      </c>
      <c r="AE321" s="4">
        <f>$K$321*$Y$321</f>
        <v>0</v>
      </c>
      <c r="AF321" s="4">
        <f ca="1">$M$321*$Z$321</f>
        <v>1011.8269650713097</v>
      </c>
      <c r="AG321" s="4">
        <f>$O$321*$AA$321</f>
        <v>571.65240037768126</v>
      </c>
    </row>
    <row r="322" spans="1:3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32</v>
      </c>
      <c r="F322" s="3" t="s">
        <v>25</v>
      </c>
      <c r="G322" s="3" t="s">
        <v>25</v>
      </c>
      <c r="H322" s="3" t="s">
        <v>25</v>
      </c>
      <c r="I322" s="6">
        <v>44501</v>
      </c>
      <c r="J322" s="4">
        <v>0</v>
      </c>
      <c r="K322" s="4">
        <v>0</v>
      </c>
      <c r="L322" s="4">
        <v>2.3530000000000002</v>
      </c>
      <c r="M322" s="4">
        <v>2.3530000000000002</v>
      </c>
      <c r="N322" s="4">
        <v>2.3530000000000002</v>
      </c>
      <c r="O322" s="4">
        <v>2.3530000000000002</v>
      </c>
      <c r="P322" s="4">
        <v>34</v>
      </c>
      <c r="Q322" s="3" t="s">
        <v>26</v>
      </c>
      <c r="R322" s="3">
        <v>0</v>
      </c>
      <c r="S322" s="4">
        <v>0</v>
      </c>
      <c r="T322" s="4">
        <v>23</v>
      </c>
      <c r="U322" s="4">
        <v>43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311.93</v>
      </c>
      <c r="X322" s="4">
        <f>IF(ISERROR(VLOOKUP($U$322,'TAR FIN'!$A$1:$O$85,15,0)),0,VLOOKUP($U$322,'TAR FIN'!$A$1:$O$85,15,0))</f>
        <v>267.91000000000003</v>
      </c>
      <c r="Y322" s="4"/>
      <c r="Z322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2" s="4">
        <f>('TE BE'!$AB$14+'TE BF'!$AB$14+'TE CVA'!$AB$14)*(1-CUSTOS!$M$37)</f>
        <v>185.42082399535556</v>
      </c>
      <c r="AB322" s="4">
        <f>$K$322*$V$322</f>
        <v>0</v>
      </c>
      <c r="AC322" s="4">
        <f>$M$322*$W$322</f>
        <v>733.97129000000007</v>
      </c>
      <c r="AD322" s="4">
        <f>$O$322*$X$322</f>
        <v>630.39223000000015</v>
      </c>
      <c r="AE322" s="4">
        <f>$K$322*$Y$322</f>
        <v>0</v>
      </c>
      <c r="AF322" s="4">
        <f ca="1">$M$322*$Z$322</f>
        <v>772.2441935818332</v>
      </c>
      <c r="AG322" s="4">
        <f>$O$322*$AA$322</f>
        <v>436.2951988610717</v>
      </c>
    </row>
    <row r="323" spans="1:33" ht="11.25" customHeight="1" x14ac:dyDescent="0.25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32</v>
      </c>
      <c r="F323" s="3" t="s">
        <v>25</v>
      </c>
      <c r="G323" s="3" t="s">
        <v>25</v>
      </c>
      <c r="H323" s="3" t="s">
        <v>25</v>
      </c>
      <c r="I323" s="6">
        <v>44531</v>
      </c>
      <c r="J323" s="4">
        <v>0</v>
      </c>
      <c r="K323" s="4">
        <v>0</v>
      </c>
      <c r="L323" s="4">
        <v>3.536</v>
      </c>
      <c r="M323" s="4">
        <v>3.536</v>
      </c>
      <c r="N323" s="4">
        <v>3.536</v>
      </c>
      <c r="O323" s="4">
        <v>3.536</v>
      </c>
      <c r="P323" s="4">
        <v>50</v>
      </c>
      <c r="Q323" s="3" t="s">
        <v>26</v>
      </c>
      <c r="R323" s="3">
        <v>0</v>
      </c>
      <c r="S323" s="4">
        <v>0</v>
      </c>
      <c r="T323" s="4">
        <v>23</v>
      </c>
      <c r="U323" s="4">
        <v>43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311.93</v>
      </c>
      <c r="X323" s="4">
        <f>IF(ISERROR(VLOOKUP($U$323,'TAR FIN'!$A$1:$O$85,15,0)),0,VLOOKUP($U$323,'TAR FIN'!$A$1:$O$85,15,0))</f>
        <v>267.91000000000003</v>
      </c>
      <c r="Y323" s="4"/>
      <c r="Z323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3" s="4">
        <f>('TE BE'!$AB$14+'TE BF'!$AB$14+'TE CVA'!$AB$14)*(1-CUSTOS!$M$37)</f>
        <v>185.42082399535556</v>
      </c>
      <c r="AB323" s="4">
        <f>$K$323*$V$323</f>
        <v>0</v>
      </c>
      <c r="AC323" s="4">
        <f>$M$323*$W$323</f>
        <v>1102.9844800000001</v>
      </c>
      <c r="AD323" s="4">
        <f>$O$323*$X$323</f>
        <v>947.32976000000008</v>
      </c>
      <c r="AE323" s="4">
        <f>$K$323*$Y$323</f>
        <v>0</v>
      </c>
      <c r="AF323" s="4">
        <f ca="1">$M$323*$Z$323</f>
        <v>1160.4995616257384</v>
      </c>
      <c r="AG323" s="4">
        <f>$O$323*$AA$323</f>
        <v>655.64803364757722</v>
      </c>
    </row>
    <row r="324" spans="1:3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32</v>
      </c>
      <c r="F324" s="3" t="s">
        <v>25</v>
      </c>
      <c r="G324" s="3" t="s">
        <v>25</v>
      </c>
      <c r="H324" s="3" t="s">
        <v>25</v>
      </c>
      <c r="I324" s="6">
        <v>44562</v>
      </c>
      <c r="J324" s="4">
        <v>0</v>
      </c>
      <c r="K324" s="4">
        <v>0</v>
      </c>
      <c r="L324" s="4">
        <v>3.3959999999999999</v>
      </c>
      <c r="M324" s="4">
        <v>3.3959999999999999</v>
      </c>
      <c r="N324" s="4">
        <v>3.3959999999999999</v>
      </c>
      <c r="O324" s="4">
        <v>3.3959999999999999</v>
      </c>
      <c r="P324" s="4">
        <v>45</v>
      </c>
      <c r="Q324" s="3" t="s">
        <v>26</v>
      </c>
      <c r="R324" s="3">
        <v>0</v>
      </c>
      <c r="S324" s="4">
        <v>0</v>
      </c>
      <c r="T324" s="4">
        <v>23</v>
      </c>
      <c r="U324" s="4">
        <v>43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311.93</v>
      </c>
      <c r="X324" s="4">
        <f>IF(ISERROR(VLOOKUP($U$324,'TAR FIN'!$A$1:$O$85,15,0)),0,VLOOKUP($U$324,'TAR FIN'!$A$1:$O$85,15,0))</f>
        <v>267.91000000000003</v>
      </c>
      <c r="Y324" s="4"/>
      <c r="Z324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4" s="4">
        <f>('TE BE'!$AB$14+'TE BF'!$AB$14+'TE CVA'!$AB$14)*(1-CUSTOS!$M$37)</f>
        <v>185.42082399535556</v>
      </c>
      <c r="AB324" s="4">
        <f>$K$324*$V$324</f>
        <v>0</v>
      </c>
      <c r="AC324" s="4">
        <f>$M$324*$W$324</f>
        <v>1059.3142800000001</v>
      </c>
      <c r="AD324" s="4">
        <f>$O$324*$X$324</f>
        <v>909.82236000000012</v>
      </c>
      <c r="AE324" s="4">
        <f>$K$324*$Y$324</f>
        <v>0</v>
      </c>
      <c r="AF324" s="4">
        <f ca="1">$M$324*$Z$324</f>
        <v>1114.55218079214</v>
      </c>
      <c r="AG324" s="4">
        <f>$O$324*$AA$324</f>
        <v>629.68911828822752</v>
      </c>
    </row>
    <row r="325" spans="1:3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32</v>
      </c>
      <c r="F325" s="3" t="s">
        <v>25</v>
      </c>
      <c r="G325" s="3" t="s">
        <v>25</v>
      </c>
      <c r="H325" s="3" t="s">
        <v>25</v>
      </c>
      <c r="I325" s="6">
        <v>44593</v>
      </c>
      <c r="J325" s="4">
        <v>0</v>
      </c>
      <c r="K325" s="4">
        <v>0</v>
      </c>
      <c r="L325" s="4">
        <v>3.423</v>
      </c>
      <c r="M325" s="4">
        <v>3.423</v>
      </c>
      <c r="N325" s="4">
        <v>3.423</v>
      </c>
      <c r="O325" s="4">
        <v>3.423</v>
      </c>
      <c r="P325" s="4">
        <v>44</v>
      </c>
      <c r="Q325" s="3" t="s">
        <v>26</v>
      </c>
      <c r="R325" s="3">
        <v>0</v>
      </c>
      <c r="S325" s="4">
        <v>0</v>
      </c>
      <c r="T325" s="4">
        <v>23</v>
      </c>
      <c r="U325" s="4">
        <v>43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311.93</v>
      </c>
      <c r="X325" s="4">
        <f>IF(ISERROR(VLOOKUP($U$325,'TAR FIN'!$A$1:$O$85,15,0)),0,VLOOKUP($U$325,'TAR FIN'!$A$1:$O$85,15,0))</f>
        <v>267.91000000000003</v>
      </c>
      <c r="Y325" s="4"/>
      <c r="Z325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5" s="4">
        <f>('TE BE'!$AB$14+'TE BF'!$AB$14+'TE CVA'!$AB$14)*(1-CUSTOS!$M$37)</f>
        <v>185.42082399535556</v>
      </c>
      <c r="AB325" s="4">
        <f>$K$325*$V$325</f>
        <v>0</v>
      </c>
      <c r="AC325" s="4">
        <f>$M$325*$W$325</f>
        <v>1067.73639</v>
      </c>
      <c r="AD325" s="4">
        <f>$O$325*$X$325</f>
        <v>917.0559300000001</v>
      </c>
      <c r="AE325" s="4">
        <f>$K$325*$Y$325</f>
        <v>0</v>
      </c>
      <c r="AF325" s="4">
        <f ca="1">$M$325*$Z$325</f>
        <v>1123.413461381477</v>
      </c>
      <c r="AG325" s="4">
        <f>$O$325*$AA$325</f>
        <v>634.69548053610208</v>
      </c>
    </row>
    <row r="326" spans="1:3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32</v>
      </c>
      <c r="F326" s="3" t="s">
        <v>25</v>
      </c>
      <c r="G326" s="3" t="s">
        <v>25</v>
      </c>
      <c r="H326" s="3" t="s">
        <v>25</v>
      </c>
      <c r="I326" s="6">
        <v>44621</v>
      </c>
      <c r="J326" s="4">
        <v>0</v>
      </c>
      <c r="K326" s="4">
        <v>0</v>
      </c>
      <c r="L326" s="4">
        <v>4.8380000000000001</v>
      </c>
      <c r="M326" s="4">
        <v>4.8380000000000001</v>
      </c>
      <c r="N326" s="4">
        <v>4.8380000000000001</v>
      </c>
      <c r="O326" s="4">
        <v>4.8380000000000001</v>
      </c>
      <c r="P326" s="4">
        <v>57</v>
      </c>
      <c r="Q326" s="3" t="s">
        <v>26</v>
      </c>
      <c r="R326" s="3">
        <v>0</v>
      </c>
      <c r="S326" s="4">
        <v>0</v>
      </c>
      <c r="T326" s="4">
        <v>23</v>
      </c>
      <c r="U326" s="4">
        <v>43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311.93</v>
      </c>
      <c r="X326" s="4">
        <f>IF(ISERROR(VLOOKUP($U$326,'TAR FIN'!$A$1:$O$85,15,0)),0,VLOOKUP($U$326,'TAR FIN'!$A$1:$O$85,15,0))</f>
        <v>267.91000000000003</v>
      </c>
      <c r="Y326" s="4"/>
      <c r="Z326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6" s="4">
        <f>('TE BE'!$AB$14+'TE BF'!$AB$14+'TE CVA'!$AB$14)*(1-CUSTOS!$M$37)</f>
        <v>185.42082399535556</v>
      </c>
      <c r="AB326" s="4">
        <f>$K$326*$V$326</f>
        <v>0</v>
      </c>
      <c r="AC326" s="4">
        <f>$M$326*$W$326</f>
        <v>1509.11734</v>
      </c>
      <c r="AD326" s="4">
        <f>$O$326*$X$326</f>
        <v>1296.14858</v>
      </c>
      <c r="AE326" s="4">
        <f>$K$326*$Y$326</f>
        <v>0</v>
      </c>
      <c r="AF326" s="4">
        <f ca="1">$M$326*$Z$326</f>
        <v>1587.8102033782018</v>
      </c>
      <c r="AG326" s="4">
        <f>$O$326*$AA$326</f>
        <v>897.06594648953023</v>
      </c>
    </row>
    <row r="327" spans="1:3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32</v>
      </c>
      <c r="F327" s="3" t="s">
        <v>25</v>
      </c>
      <c r="G327" s="3" t="s">
        <v>25</v>
      </c>
      <c r="H327" s="3" t="s">
        <v>25</v>
      </c>
      <c r="I327" s="6">
        <v>44652</v>
      </c>
      <c r="J327" s="4">
        <v>0</v>
      </c>
      <c r="K327" s="4">
        <v>0</v>
      </c>
      <c r="L327" s="4">
        <v>4.3819999999999997</v>
      </c>
      <c r="M327" s="4">
        <v>4.3819999999999997</v>
      </c>
      <c r="N327" s="4">
        <v>4.3819999999999997</v>
      </c>
      <c r="O327" s="4">
        <v>4.3819999999999997</v>
      </c>
      <c r="P327" s="4">
        <v>48</v>
      </c>
      <c r="Q327" s="3" t="s">
        <v>26</v>
      </c>
      <c r="R327" s="3">
        <v>0</v>
      </c>
      <c r="S327" s="4">
        <v>0</v>
      </c>
      <c r="T327" s="4">
        <v>23</v>
      </c>
      <c r="U327" s="4">
        <v>43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311.93</v>
      </c>
      <c r="X327" s="4">
        <f>IF(ISERROR(VLOOKUP($U$327,'TAR FIN'!$A$1:$O$85,15,0)),0,VLOOKUP($U$327,'TAR FIN'!$A$1:$O$85,15,0))</f>
        <v>267.91000000000003</v>
      </c>
      <c r="Y327" s="4"/>
      <c r="Z327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7" s="4">
        <f>('TE BE'!$AB$14+'TE BF'!$AB$14+'TE CVA'!$AB$14)*(1-CUSTOS!$M$37)</f>
        <v>185.42082399535556</v>
      </c>
      <c r="AB327" s="4">
        <f>$K$327*$V$327</f>
        <v>0</v>
      </c>
      <c r="AC327" s="4">
        <f>$M$327*$W$327</f>
        <v>1366.87726</v>
      </c>
      <c r="AD327" s="4">
        <f>$O$327*$X$327</f>
        <v>1173.98162</v>
      </c>
      <c r="AE327" s="4">
        <f>$K$327*$Y$327</f>
        <v>0</v>
      </c>
      <c r="AF327" s="4">
        <f ca="1">$M$327*$Z$327</f>
        <v>1438.1530200916247</v>
      </c>
      <c r="AG327" s="4">
        <f>$O$327*$AA$327</f>
        <v>812.51405074764796</v>
      </c>
    </row>
    <row r="328" spans="1:3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32</v>
      </c>
      <c r="F328" s="3" t="s">
        <v>25</v>
      </c>
      <c r="G328" s="3" t="s">
        <v>25</v>
      </c>
      <c r="H328" s="3" t="s">
        <v>25</v>
      </c>
      <c r="I328" s="6">
        <v>44682</v>
      </c>
      <c r="J328" s="4">
        <v>0</v>
      </c>
      <c r="K328" s="4">
        <v>0</v>
      </c>
      <c r="L328" s="4">
        <v>2.6850000000000001</v>
      </c>
      <c r="M328" s="4">
        <v>2.6850000000000001</v>
      </c>
      <c r="N328" s="4">
        <v>2.6850000000000001</v>
      </c>
      <c r="O328" s="4">
        <v>2.6850000000000001</v>
      </c>
      <c r="P328" s="4">
        <v>37</v>
      </c>
      <c r="Q328" s="3" t="s">
        <v>26</v>
      </c>
      <c r="R328" s="3">
        <v>0</v>
      </c>
      <c r="S328" s="4">
        <v>0</v>
      </c>
      <c r="T328" s="4">
        <v>23</v>
      </c>
      <c r="U328" s="4">
        <v>43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311.93</v>
      </c>
      <c r="X328" s="4">
        <f>IF(ISERROR(VLOOKUP($U$328,'TAR FIN'!$A$1:$O$85,15,0)),0,VLOOKUP($U$328,'TAR FIN'!$A$1:$O$85,15,0))</f>
        <v>267.91000000000003</v>
      </c>
      <c r="Y328" s="4"/>
      <c r="Z328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8" s="4">
        <f>('TE BE'!$AB$14+'TE BF'!$AB$14+'TE CVA'!$AB$14)*(1-CUSTOS!$M$37)</f>
        <v>185.42082399535556</v>
      </c>
      <c r="AB328" s="4">
        <f>$K$328*$V$328</f>
        <v>0</v>
      </c>
      <c r="AC328" s="4">
        <f>$M$328*$W$328</f>
        <v>837.53205000000003</v>
      </c>
      <c r="AD328" s="4">
        <f>$O$328*$X$328</f>
        <v>719.3383500000001</v>
      </c>
      <c r="AE328" s="4">
        <f>$K$328*$Y$328</f>
        <v>0</v>
      </c>
      <c r="AF328" s="4">
        <f ca="1">$M$328*$Z$328</f>
        <v>881.20512527293761</v>
      </c>
      <c r="AG328" s="4">
        <f>$O$328*$AA$328</f>
        <v>497.85491242752971</v>
      </c>
    </row>
    <row r="329" spans="1:3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32</v>
      </c>
      <c r="F329" s="3" t="s">
        <v>25</v>
      </c>
      <c r="G329" s="3" t="s">
        <v>25</v>
      </c>
      <c r="H329" s="3" t="s">
        <v>25</v>
      </c>
      <c r="I329" s="6">
        <v>44713</v>
      </c>
      <c r="J329" s="4">
        <v>0</v>
      </c>
      <c r="K329" s="4">
        <v>0</v>
      </c>
      <c r="L329" s="4">
        <v>1.996</v>
      </c>
      <c r="M329" s="4">
        <v>1.996</v>
      </c>
      <c r="N329" s="4">
        <v>1.996</v>
      </c>
      <c r="O329" s="4">
        <v>1.996</v>
      </c>
      <c r="P329" s="4">
        <v>27</v>
      </c>
      <c r="Q329" s="3" t="s">
        <v>26</v>
      </c>
      <c r="R329" s="3">
        <v>0</v>
      </c>
      <c r="S329" s="4">
        <v>0</v>
      </c>
      <c r="T329" s="4">
        <v>23</v>
      </c>
      <c r="U329" s="4">
        <v>43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311.93</v>
      </c>
      <c r="X329" s="4">
        <f>IF(ISERROR(VLOOKUP($U$329,'TAR FIN'!$A$1:$O$85,15,0)),0,VLOOKUP($U$329,'TAR FIN'!$A$1:$O$85,15,0))</f>
        <v>267.91000000000003</v>
      </c>
      <c r="Y329" s="4"/>
      <c r="Z329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29" s="4">
        <f>('TE BE'!$AB$14+'TE BF'!$AB$14+'TE CVA'!$AB$14)*(1-CUSTOS!$M$37)</f>
        <v>185.42082399535556</v>
      </c>
      <c r="AB329" s="4">
        <f>$K$329*$V$329</f>
        <v>0</v>
      </c>
      <c r="AC329" s="4">
        <f>$M$329*$W$329</f>
        <v>622.61228000000006</v>
      </c>
      <c r="AD329" s="4">
        <f>$O$329*$X$329</f>
        <v>534.74836000000005</v>
      </c>
      <c r="AE329" s="4">
        <f>$K$329*$Y$329</f>
        <v>0</v>
      </c>
      <c r="AF329" s="4">
        <f ca="1">$M$329*$Z$329</f>
        <v>655.07837245615769</v>
      </c>
      <c r="AG329" s="4">
        <f>$O$329*$AA$329</f>
        <v>370.09996469472969</v>
      </c>
    </row>
    <row r="330" spans="1:3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32</v>
      </c>
      <c r="F330" s="3" t="s">
        <v>25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2.0640000000000001</v>
      </c>
      <c r="M330" s="4">
        <v>2.0640000000000001</v>
      </c>
      <c r="N330" s="4">
        <v>2.0640000000000001</v>
      </c>
      <c r="O330" s="4">
        <v>2.0640000000000001</v>
      </c>
      <c r="P330" s="4">
        <v>27</v>
      </c>
      <c r="Q330" s="3" t="s">
        <v>26</v>
      </c>
      <c r="R330" s="3">
        <v>0</v>
      </c>
      <c r="S330" s="4">
        <v>0</v>
      </c>
      <c r="T330" s="4">
        <v>23</v>
      </c>
      <c r="U330" s="4">
        <v>43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311.93</v>
      </c>
      <c r="X330" s="4">
        <f>IF(ISERROR(VLOOKUP($U$330,'TAR FIN'!$A$1:$O$85,15,0)),0,VLOOKUP($U$330,'TAR FIN'!$A$1:$O$85,15,0))</f>
        <v>267.91000000000003</v>
      </c>
      <c r="Y330" s="4"/>
      <c r="Z330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30" s="4">
        <f>('TE BE'!$AB$14+'TE BF'!$AB$14+'TE CVA'!$AB$14)*(1-CUSTOS!$M$37)</f>
        <v>185.42082399535556</v>
      </c>
      <c r="AB330" s="4">
        <f>$K$330*$V$330</f>
        <v>0</v>
      </c>
      <c r="AC330" s="4">
        <f>$M$330*$W$330</f>
        <v>643.82352000000003</v>
      </c>
      <c r="AD330" s="4">
        <f>$O$330*$X$330</f>
        <v>552.96624000000008</v>
      </c>
      <c r="AE330" s="4">
        <f>$K$330*$Y$330</f>
        <v>0</v>
      </c>
      <c r="AF330" s="4">
        <f ca="1">$M$330*$Z$330</f>
        <v>677.39567171819112</v>
      </c>
      <c r="AG330" s="4">
        <f>$O$330*$AA$330</f>
        <v>382.70858072641391</v>
      </c>
    </row>
    <row r="331" spans="1:3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32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2.57</v>
      </c>
      <c r="M331" s="4">
        <v>2.57</v>
      </c>
      <c r="N331" s="4">
        <v>2.57</v>
      </c>
      <c r="O331" s="4">
        <v>2.57</v>
      </c>
      <c r="P331" s="4">
        <v>28</v>
      </c>
      <c r="Q331" s="3" t="s">
        <v>26</v>
      </c>
      <c r="R331" s="3">
        <v>0</v>
      </c>
      <c r="S331" s="4">
        <v>0</v>
      </c>
      <c r="T331" s="4">
        <v>23</v>
      </c>
      <c r="U331" s="4">
        <v>43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311.93</v>
      </c>
      <c r="X331" s="4">
        <f>IF(ISERROR(VLOOKUP($U$331,'TAR FIN'!$A$1:$O$85,15,0)),0,VLOOKUP($U$331,'TAR FIN'!$A$1:$O$85,15,0))</f>
        <v>267.91000000000003</v>
      </c>
      <c r="Y331" s="4"/>
      <c r="Z331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331" s="4">
        <f>('TE BE'!$AB$14+'TE BF'!$AB$14+'TE CVA'!$AB$14)*(1-CUSTOS!$M$37)</f>
        <v>185.42082399535556</v>
      </c>
      <c r="AB331" s="4">
        <f>$K$331*$V$331</f>
        <v>0</v>
      </c>
      <c r="AC331" s="4">
        <f>$M$331*$W$331</f>
        <v>801.66009999999994</v>
      </c>
      <c r="AD331" s="4">
        <f>$O$331*$X$331</f>
        <v>688.52870000000007</v>
      </c>
      <c r="AE331" s="4">
        <f>$K$331*$Y$331</f>
        <v>0</v>
      </c>
      <c r="AF331" s="4">
        <f ca="1">$M$331*$Z$331</f>
        <v>843.46263387391036</v>
      </c>
      <c r="AG331" s="4">
        <f>$O$331*$AA$331</f>
        <v>476.53151766806377</v>
      </c>
    </row>
    <row r="332" spans="1:33" ht="11.25" customHeight="1" x14ac:dyDescent="0.25">
      <c r="A332" s="3" t="s">
        <v>21</v>
      </c>
      <c r="B332" s="3" t="s">
        <v>40</v>
      </c>
      <c r="C332" s="3" t="s">
        <v>23</v>
      </c>
      <c r="D332" s="3" t="s">
        <v>41</v>
      </c>
      <c r="E332" s="3" t="s">
        <v>50</v>
      </c>
      <c r="F332" s="3" t="s">
        <v>51</v>
      </c>
      <c r="G332" s="3" t="s">
        <v>25</v>
      </c>
      <c r="H332" s="3" t="s">
        <v>25</v>
      </c>
      <c r="I332" s="6">
        <v>44440</v>
      </c>
      <c r="J332" s="4">
        <v>0</v>
      </c>
      <c r="K332" s="4">
        <v>0</v>
      </c>
      <c r="L332" s="4">
        <v>114.512</v>
      </c>
      <c r="M332" s="4">
        <v>114.512</v>
      </c>
      <c r="N332" s="4">
        <v>114.512</v>
      </c>
      <c r="O332" s="4">
        <v>114.512</v>
      </c>
      <c r="P332" s="4">
        <v>0</v>
      </c>
      <c r="Q332" s="3" t="s">
        <v>26</v>
      </c>
      <c r="R332" s="3">
        <v>0</v>
      </c>
      <c r="S332" s="4">
        <v>0</v>
      </c>
      <c r="T332" s="4">
        <v>20</v>
      </c>
      <c r="U332" s="4">
        <v>52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323.62</v>
      </c>
      <c r="X332" s="4">
        <f>IF(ISERROR(VLOOKUP($U$332,'TAR FIN'!$A$1:$O$85,15,0)),0,VLOOKUP($U$332,'TAR FIN'!$A$1:$O$85,15,0))</f>
        <v>235.76</v>
      </c>
      <c r="Y332" s="4"/>
      <c r="Z332" s="4">
        <f ca="1">('TUSD BE'!$AM$33+'TUSD BF'!$AM$33+'TUSD CVA'!$AM$33)*(1-CUSTOS!$M$38)</f>
        <v>411.34661537566791</v>
      </c>
      <c r="AA332" s="4">
        <f>('TE BE'!$AB$23+'TE BF'!$AB$23+'TE CVA'!$AB$23)*(1-CUSTOS!$M$38)</f>
        <v>174.29557455563423</v>
      </c>
      <c r="AB332" s="4">
        <f>$K$332*$V$332</f>
        <v>0</v>
      </c>
      <c r="AC332" s="4">
        <f>$M$332*$W$332</f>
        <v>37058.373440000003</v>
      </c>
      <c r="AD332" s="4">
        <f>$O$332*$X$332</f>
        <v>26997.349119999999</v>
      </c>
      <c r="AE332" s="4">
        <f>$K$332*$Y$332</f>
        <v>0</v>
      </c>
      <c r="AF332" s="4">
        <f ca="1">$M$332*$Z$332</f>
        <v>47104.123619898484</v>
      </c>
      <c r="AG332" s="4">
        <f>$O$332*$AA$332</f>
        <v>19958.934833514788</v>
      </c>
    </row>
    <row r="333" spans="1:33" ht="11.25" customHeight="1" x14ac:dyDescent="0.25">
      <c r="A333" s="3" t="s">
        <v>21</v>
      </c>
      <c r="B333" s="3" t="s">
        <v>40</v>
      </c>
      <c r="C333" s="3" t="s">
        <v>23</v>
      </c>
      <c r="D333" s="3" t="s">
        <v>41</v>
      </c>
      <c r="E333" s="3" t="s">
        <v>50</v>
      </c>
      <c r="F333" s="3" t="s">
        <v>51</v>
      </c>
      <c r="G333" s="3" t="s">
        <v>25</v>
      </c>
      <c r="H333" s="3" t="s">
        <v>25</v>
      </c>
      <c r="I333" s="6">
        <v>44470</v>
      </c>
      <c r="J333" s="4">
        <v>0</v>
      </c>
      <c r="K333" s="4">
        <v>0</v>
      </c>
      <c r="L333" s="4">
        <v>145.73699999999999</v>
      </c>
      <c r="M333" s="4">
        <v>145.73699999999999</v>
      </c>
      <c r="N333" s="4">
        <v>145.73699999999999</v>
      </c>
      <c r="O333" s="4">
        <v>145.73699999999999</v>
      </c>
      <c r="P333" s="4">
        <v>0</v>
      </c>
      <c r="Q333" s="3" t="s">
        <v>26</v>
      </c>
      <c r="R333" s="3">
        <v>0</v>
      </c>
      <c r="S333" s="4">
        <v>0</v>
      </c>
      <c r="T333" s="4">
        <v>20</v>
      </c>
      <c r="U333" s="4">
        <v>52</v>
      </c>
      <c r="V333" s="4">
        <f>IF(ISERROR(VLOOKUP($S$333,'TAR FIN'!$A$1:$O$85,15,0)),0,VLOOKUP($S$333,'TAR FIN'!$A$1:$O$85,15,0))</f>
        <v>0</v>
      </c>
      <c r="W333" s="4">
        <f>IF(ISERROR(VLOOKUP($T$333,'TAR FIN'!$A$1:$O$85,15,0)),0,VLOOKUP($T$333,'TAR FIN'!$A$1:$O$85,15,0))</f>
        <v>323.62</v>
      </c>
      <c r="X333" s="4">
        <f>IF(ISERROR(VLOOKUP($U$333,'TAR FIN'!$A$1:$O$85,15,0)),0,VLOOKUP($U$333,'TAR FIN'!$A$1:$O$85,15,0))</f>
        <v>235.76</v>
      </c>
      <c r="Y333" s="4"/>
      <c r="Z333" s="4">
        <f ca="1">('TUSD BE'!$AM$33+'TUSD BF'!$AM$33+'TUSD CVA'!$AM$33)*(1-CUSTOS!$M$38)</f>
        <v>411.34661537566791</v>
      </c>
      <c r="AA333" s="4">
        <f>('TE BE'!$AB$23+'TE BF'!$AB$23+'TE CVA'!$AB$23)*(1-CUSTOS!$M$38)</f>
        <v>174.29557455563423</v>
      </c>
      <c r="AB333" s="4">
        <f>$K$333*$V$333</f>
        <v>0</v>
      </c>
      <c r="AC333" s="4">
        <f>$M$333*$W$333</f>
        <v>47163.407939999997</v>
      </c>
      <c r="AD333" s="4">
        <f>$O$333*$X$333</f>
        <v>34358.955119999999</v>
      </c>
      <c r="AE333" s="4">
        <f>$K$333*$Y$333</f>
        <v>0</v>
      </c>
      <c r="AF333" s="4">
        <f ca="1">$M$333*$Z$333</f>
        <v>59948.421685003712</v>
      </c>
      <c r="AG333" s="4">
        <f>$O$333*$AA$333</f>
        <v>25401.314149014466</v>
      </c>
    </row>
    <row r="334" spans="1:33" ht="11.25" customHeight="1" x14ac:dyDescent="0.25">
      <c r="A334" s="3" t="s">
        <v>21</v>
      </c>
      <c r="B334" s="3" t="s">
        <v>40</v>
      </c>
      <c r="C334" s="3" t="s">
        <v>23</v>
      </c>
      <c r="D334" s="3" t="s">
        <v>41</v>
      </c>
      <c r="E334" s="3" t="s">
        <v>50</v>
      </c>
      <c r="F334" s="3" t="s">
        <v>51</v>
      </c>
      <c r="G334" s="3" t="s">
        <v>25</v>
      </c>
      <c r="H334" s="3" t="s">
        <v>25</v>
      </c>
      <c r="I334" s="6">
        <v>44501</v>
      </c>
      <c r="J334" s="4">
        <v>0</v>
      </c>
      <c r="K334" s="4">
        <v>0</v>
      </c>
      <c r="L334" s="4">
        <v>36.270000000000003</v>
      </c>
      <c r="M334" s="4">
        <v>36.270000000000003</v>
      </c>
      <c r="N334" s="4">
        <v>36.270000000000003</v>
      </c>
      <c r="O334" s="4">
        <v>36.270000000000003</v>
      </c>
      <c r="P334" s="4">
        <v>0</v>
      </c>
      <c r="Q334" s="3" t="s">
        <v>26</v>
      </c>
      <c r="R334" s="3">
        <v>0</v>
      </c>
      <c r="S334" s="4">
        <v>0</v>
      </c>
      <c r="T334" s="4">
        <v>20</v>
      </c>
      <c r="U334" s="4">
        <v>52</v>
      </c>
      <c r="V334" s="4">
        <f>IF(ISERROR(VLOOKUP($S$334,'TAR FIN'!$A$1:$O$85,15,0)),0,VLOOKUP($S$334,'TAR FIN'!$A$1:$O$85,15,0))</f>
        <v>0</v>
      </c>
      <c r="W334" s="4">
        <f>IF(ISERROR(VLOOKUP($T$334,'TAR FIN'!$A$1:$O$85,15,0)),0,VLOOKUP($T$334,'TAR FIN'!$A$1:$O$85,15,0))</f>
        <v>323.62</v>
      </c>
      <c r="X334" s="4">
        <f>IF(ISERROR(VLOOKUP($U$334,'TAR FIN'!$A$1:$O$85,15,0)),0,VLOOKUP($U$334,'TAR FIN'!$A$1:$O$85,15,0))</f>
        <v>235.76</v>
      </c>
      <c r="Y334" s="4"/>
      <c r="Z334" s="4">
        <f ca="1">('TUSD BE'!$AM$33+'TUSD BF'!$AM$33+'TUSD CVA'!$AM$33)*(1-CUSTOS!$M$38)</f>
        <v>411.34661537566791</v>
      </c>
      <c r="AA334" s="4">
        <f>('TE BE'!$AB$23+'TE BF'!$AB$23+'TE CVA'!$AB$23)*(1-CUSTOS!$M$38)</f>
        <v>174.29557455563423</v>
      </c>
      <c r="AB334" s="4">
        <f>$K$334*$V$334</f>
        <v>0</v>
      </c>
      <c r="AC334" s="4">
        <f>$M$334*$W$334</f>
        <v>11737.697400000001</v>
      </c>
      <c r="AD334" s="4">
        <f>$O$334*$X$334</f>
        <v>8551.0151999999998</v>
      </c>
      <c r="AE334" s="4">
        <f>$K$334*$Y$334</f>
        <v>0</v>
      </c>
      <c r="AF334" s="4">
        <f ca="1">$M$334*$Z$334</f>
        <v>14919.541739675476</v>
      </c>
      <c r="AG334" s="4">
        <f>$O$334*$AA$334</f>
        <v>6321.7004891328543</v>
      </c>
    </row>
    <row r="335" spans="1:33" ht="11.25" customHeight="1" x14ac:dyDescent="0.25">
      <c r="A335" s="3" t="s">
        <v>21</v>
      </c>
      <c r="B335" s="3" t="s">
        <v>40</v>
      </c>
      <c r="C335" s="3" t="s">
        <v>23</v>
      </c>
      <c r="D335" s="3" t="s">
        <v>41</v>
      </c>
      <c r="E335" s="3" t="s">
        <v>50</v>
      </c>
      <c r="F335" s="3" t="s">
        <v>51</v>
      </c>
      <c r="G335" s="3" t="s">
        <v>25</v>
      </c>
      <c r="H335" s="3" t="s">
        <v>25</v>
      </c>
      <c r="I335" s="6">
        <v>44531</v>
      </c>
      <c r="J335" s="4">
        <v>0</v>
      </c>
      <c r="K335" s="4">
        <v>0</v>
      </c>
      <c r="L335" s="4">
        <v>29.285</v>
      </c>
      <c r="M335" s="4">
        <v>29.285</v>
      </c>
      <c r="N335" s="4">
        <v>29.285</v>
      </c>
      <c r="O335" s="4">
        <v>29.285</v>
      </c>
      <c r="P335" s="4">
        <v>0</v>
      </c>
      <c r="Q335" s="3" t="s">
        <v>26</v>
      </c>
      <c r="R335" s="3">
        <v>0</v>
      </c>
      <c r="S335" s="4">
        <v>0</v>
      </c>
      <c r="T335" s="4">
        <v>20</v>
      </c>
      <c r="U335" s="4">
        <v>52</v>
      </c>
      <c r="V335" s="4">
        <f>IF(ISERROR(VLOOKUP($S$335,'TAR FIN'!$A$1:$O$85,15,0)),0,VLOOKUP($S$335,'TAR FIN'!$A$1:$O$85,15,0))</f>
        <v>0</v>
      </c>
      <c r="W335" s="4">
        <f>IF(ISERROR(VLOOKUP($T$335,'TAR FIN'!$A$1:$O$85,15,0)),0,VLOOKUP($T$335,'TAR FIN'!$A$1:$O$85,15,0))</f>
        <v>323.62</v>
      </c>
      <c r="X335" s="4">
        <f>IF(ISERROR(VLOOKUP($U$335,'TAR FIN'!$A$1:$O$85,15,0)),0,VLOOKUP($U$335,'TAR FIN'!$A$1:$O$85,15,0))</f>
        <v>235.76</v>
      </c>
      <c r="Y335" s="4"/>
      <c r="Z335" s="4">
        <f ca="1">('TUSD BE'!$AM$33+'TUSD BF'!$AM$33+'TUSD CVA'!$AM$33)*(1-CUSTOS!$M$38)</f>
        <v>411.34661537566791</v>
      </c>
      <c r="AA335" s="4">
        <f>('TE BE'!$AB$23+'TE BF'!$AB$23+'TE CVA'!$AB$23)*(1-CUSTOS!$M$38)</f>
        <v>174.29557455563423</v>
      </c>
      <c r="AB335" s="4">
        <f>$K$335*$V$335</f>
        <v>0</v>
      </c>
      <c r="AC335" s="4">
        <f>$M$335*$W$335</f>
        <v>9477.2116999999998</v>
      </c>
      <c r="AD335" s="4">
        <f>$O$335*$X$335</f>
        <v>6904.2316000000001</v>
      </c>
      <c r="AE335" s="4">
        <f>$K$335*$Y$335</f>
        <v>0</v>
      </c>
      <c r="AF335" s="4">
        <f ca="1">$M$335*$Z$335</f>
        <v>12046.285631276434</v>
      </c>
      <c r="AG335" s="4">
        <f>$O$335*$AA$335</f>
        <v>5104.2459008617489</v>
      </c>
    </row>
    <row r="336" spans="1:33" ht="11.25" customHeight="1" x14ac:dyDescent="0.25">
      <c r="A336" s="3" t="s">
        <v>21</v>
      </c>
      <c r="B336" s="3" t="s">
        <v>40</v>
      </c>
      <c r="C336" s="3" t="s">
        <v>23</v>
      </c>
      <c r="D336" s="3" t="s">
        <v>41</v>
      </c>
      <c r="E336" s="3" t="s">
        <v>50</v>
      </c>
      <c r="F336" s="3" t="s">
        <v>51</v>
      </c>
      <c r="G336" s="3" t="s">
        <v>25</v>
      </c>
      <c r="H336" s="3" t="s">
        <v>25</v>
      </c>
      <c r="I336" s="6">
        <v>44562</v>
      </c>
      <c r="J336" s="4">
        <v>0</v>
      </c>
      <c r="K336" s="4">
        <v>0</v>
      </c>
      <c r="L336" s="4">
        <v>12.792</v>
      </c>
      <c r="M336" s="4">
        <v>12.792</v>
      </c>
      <c r="N336" s="4">
        <v>12.792</v>
      </c>
      <c r="O336" s="4">
        <v>12.792</v>
      </c>
      <c r="P336" s="4">
        <v>0</v>
      </c>
      <c r="Q336" s="3" t="s">
        <v>26</v>
      </c>
      <c r="R336" s="3">
        <v>0</v>
      </c>
      <c r="S336" s="4">
        <v>0</v>
      </c>
      <c r="T336" s="4">
        <v>20</v>
      </c>
      <c r="U336" s="4">
        <v>52</v>
      </c>
      <c r="V336" s="4">
        <f>IF(ISERROR(VLOOKUP($S$336,'TAR FIN'!$A$1:$O$85,15,0)),0,VLOOKUP($S$336,'TAR FIN'!$A$1:$O$85,15,0))</f>
        <v>0</v>
      </c>
      <c r="W336" s="4">
        <f>IF(ISERROR(VLOOKUP($T$336,'TAR FIN'!$A$1:$O$85,15,0)),0,VLOOKUP($T$336,'TAR FIN'!$A$1:$O$85,15,0))</f>
        <v>323.62</v>
      </c>
      <c r="X336" s="4">
        <f>IF(ISERROR(VLOOKUP($U$336,'TAR FIN'!$A$1:$O$85,15,0)),0,VLOOKUP($U$336,'TAR FIN'!$A$1:$O$85,15,0))</f>
        <v>235.76</v>
      </c>
      <c r="Y336" s="4"/>
      <c r="Z336" s="4">
        <f ca="1">('TUSD BE'!$AM$33+'TUSD BF'!$AM$33+'TUSD CVA'!$AM$33)*(1-CUSTOS!$M$38)</f>
        <v>411.34661537566791</v>
      </c>
      <c r="AA336" s="4">
        <f>('TE BE'!$AB$23+'TE BF'!$AB$23+'TE CVA'!$AB$23)*(1-CUSTOS!$M$38)</f>
        <v>174.29557455563423</v>
      </c>
      <c r="AB336" s="4">
        <f>$K$336*$V$336</f>
        <v>0</v>
      </c>
      <c r="AC336" s="4">
        <f>$M$336*$W$336</f>
        <v>4139.7470400000002</v>
      </c>
      <c r="AD336" s="4">
        <f>$O$336*$X$336</f>
        <v>3015.8419199999998</v>
      </c>
      <c r="AE336" s="4">
        <f>$K$336*$Y$336</f>
        <v>0</v>
      </c>
      <c r="AF336" s="4">
        <f ca="1">$M$336*$Z$336</f>
        <v>5261.9459038855439</v>
      </c>
      <c r="AG336" s="4">
        <f>$O$336*$AA$336</f>
        <v>2229.5889897156731</v>
      </c>
    </row>
    <row r="337" spans="1:33" ht="11.25" customHeight="1" x14ac:dyDescent="0.25">
      <c r="A337" s="3" t="s">
        <v>21</v>
      </c>
      <c r="B337" s="3" t="s">
        <v>40</v>
      </c>
      <c r="C337" s="3" t="s">
        <v>23</v>
      </c>
      <c r="D337" s="3" t="s">
        <v>41</v>
      </c>
      <c r="E337" s="3" t="s">
        <v>50</v>
      </c>
      <c r="F337" s="3" t="s">
        <v>51</v>
      </c>
      <c r="G337" s="3" t="s">
        <v>25</v>
      </c>
      <c r="H337" s="3" t="s">
        <v>25</v>
      </c>
      <c r="I337" s="6">
        <v>44593</v>
      </c>
      <c r="J337" s="4">
        <v>0</v>
      </c>
      <c r="K337" s="4">
        <v>0</v>
      </c>
      <c r="L337" s="4">
        <v>7.1849999999999996</v>
      </c>
      <c r="M337" s="4">
        <v>7.1849999999999996</v>
      </c>
      <c r="N337" s="4">
        <v>7.1849999999999996</v>
      </c>
      <c r="O337" s="4">
        <v>7.1849999999999996</v>
      </c>
      <c r="P337" s="4">
        <v>0</v>
      </c>
      <c r="Q337" s="3" t="s">
        <v>26</v>
      </c>
      <c r="R337" s="3">
        <v>0</v>
      </c>
      <c r="S337" s="4">
        <v>0</v>
      </c>
      <c r="T337" s="4">
        <v>20</v>
      </c>
      <c r="U337" s="4">
        <v>52</v>
      </c>
      <c r="V337" s="4">
        <f>IF(ISERROR(VLOOKUP($S$337,'TAR FIN'!$A$1:$O$85,15,0)),0,VLOOKUP($S$337,'TAR FIN'!$A$1:$O$85,15,0))</f>
        <v>0</v>
      </c>
      <c r="W337" s="4">
        <f>IF(ISERROR(VLOOKUP($T$337,'TAR FIN'!$A$1:$O$85,15,0)),0,VLOOKUP($T$337,'TAR FIN'!$A$1:$O$85,15,0))</f>
        <v>323.62</v>
      </c>
      <c r="X337" s="4">
        <f>IF(ISERROR(VLOOKUP($U$337,'TAR FIN'!$A$1:$O$85,15,0)),0,VLOOKUP($U$337,'TAR FIN'!$A$1:$O$85,15,0))</f>
        <v>235.76</v>
      </c>
      <c r="Y337" s="4"/>
      <c r="Z337" s="4">
        <f ca="1">('TUSD BE'!$AM$33+'TUSD BF'!$AM$33+'TUSD CVA'!$AM$33)*(1-CUSTOS!$M$38)</f>
        <v>411.34661537566791</v>
      </c>
      <c r="AA337" s="4">
        <f>('TE BE'!$AB$23+'TE BF'!$AB$23+'TE CVA'!$AB$23)*(1-CUSTOS!$M$38)</f>
        <v>174.29557455563423</v>
      </c>
      <c r="AB337" s="4">
        <f>$K$337*$V$337</f>
        <v>0</v>
      </c>
      <c r="AC337" s="4">
        <f>$M$337*$W$337</f>
        <v>2325.2096999999999</v>
      </c>
      <c r="AD337" s="4">
        <f>$O$337*$X$337</f>
        <v>1693.9355999999998</v>
      </c>
      <c r="AE337" s="4">
        <f>$K$337*$Y$337</f>
        <v>0</v>
      </c>
      <c r="AF337" s="4">
        <f ca="1">$M$337*$Z$337</f>
        <v>2955.5254314741737</v>
      </c>
      <c r="AG337" s="4">
        <f>$O$337*$AA$337</f>
        <v>1252.3137031822318</v>
      </c>
    </row>
    <row r="338" spans="1:33" ht="11.25" customHeight="1" x14ac:dyDescent="0.25">
      <c r="A338" s="3" t="s">
        <v>21</v>
      </c>
      <c r="B338" s="3" t="s">
        <v>40</v>
      </c>
      <c r="C338" s="3" t="s">
        <v>23</v>
      </c>
      <c r="D338" s="3" t="s">
        <v>41</v>
      </c>
      <c r="E338" s="3" t="s">
        <v>50</v>
      </c>
      <c r="F338" s="3" t="s">
        <v>51</v>
      </c>
      <c r="G338" s="3" t="s">
        <v>25</v>
      </c>
      <c r="H338" s="3" t="s">
        <v>25</v>
      </c>
      <c r="I338" s="6">
        <v>44621</v>
      </c>
      <c r="J338" s="4">
        <v>0</v>
      </c>
      <c r="K338" s="4">
        <v>0</v>
      </c>
      <c r="L338" s="4">
        <v>22.152000000000001</v>
      </c>
      <c r="M338" s="4">
        <v>22.152000000000001</v>
      </c>
      <c r="N338" s="4">
        <v>22.152000000000001</v>
      </c>
      <c r="O338" s="4">
        <v>22.152000000000001</v>
      </c>
      <c r="P338" s="4">
        <v>0</v>
      </c>
      <c r="Q338" s="3" t="s">
        <v>26</v>
      </c>
      <c r="R338" s="3">
        <v>0</v>
      </c>
      <c r="S338" s="4">
        <v>0</v>
      </c>
      <c r="T338" s="4">
        <v>20</v>
      </c>
      <c r="U338" s="4">
        <v>52</v>
      </c>
      <c r="V338" s="4">
        <f>IF(ISERROR(VLOOKUP($S$338,'TAR FIN'!$A$1:$O$85,15,0)),0,VLOOKUP($S$338,'TAR FIN'!$A$1:$O$85,15,0))</f>
        <v>0</v>
      </c>
      <c r="W338" s="4">
        <f>IF(ISERROR(VLOOKUP($T$338,'TAR FIN'!$A$1:$O$85,15,0)),0,VLOOKUP($T$338,'TAR FIN'!$A$1:$O$85,15,0))</f>
        <v>323.62</v>
      </c>
      <c r="X338" s="4">
        <f>IF(ISERROR(VLOOKUP($U$338,'TAR FIN'!$A$1:$O$85,15,0)),0,VLOOKUP($U$338,'TAR FIN'!$A$1:$O$85,15,0))</f>
        <v>235.76</v>
      </c>
      <c r="Y338" s="4"/>
      <c r="Z338" s="4">
        <f ca="1">('TUSD BE'!$AM$33+'TUSD BF'!$AM$33+'TUSD CVA'!$AM$33)*(1-CUSTOS!$M$38)</f>
        <v>411.34661537566791</v>
      </c>
      <c r="AA338" s="4">
        <f>('TE BE'!$AB$23+'TE BF'!$AB$23+'TE CVA'!$AB$23)*(1-CUSTOS!$M$38)</f>
        <v>174.29557455563423</v>
      </c>
      <c r="AB338" s="4">
        <f>$K$338*$V$338</f>
        <v>0</v>
      </c>
      <c r="AC338" s="4">
        <f>$M$338*$W$338</f>
        <v>7168.8302400000002</v>
      </c>
      <c r="AD338" s="4">
        <f>$O$338*$X$338</f>
        <v>5222.5555199999999</v>
      </c>
      <c r="AE338" s="4">
        <f>$K$338*$Y$338</f>
        <v>0</v>
      </c>
      <c r="AF338" s="4">
        <f ca="1">$M$338*$Z$338</f>
        <v>9112.1502238017965</v>
      </c>
      <c r="AG338" s="4">
        <f>$O$338*$AA$338</f>
        <v>3860.9955675564097</v>
      </c>
    </row>
    <row r="339" spans="1:33" ht="11.25" customHeight="1" x14ac:dyDescent="0.25">
      <c r="A339" s="3" t="s">
        <v>21</v>
      </c>
      <c r="B339" s="3" t="s">
        <v>40</v>
      </c>
      <c r="C339" s="3" t="s">
        <v>23</v>
      </c>
      <c r="D339" s="3" t="s">
        <v>41</v>
      </c>
      <c r="E339" s="3" t="s">
        <v>50</v>
      </c>
      <c r="F339" s="3" t="s">
        <v>51</v>
      </c>
      <c r="G339" s="3" t="s">
        <v>25</v>
      </c>
      <c r="H339" s="3" t="s">
        <v>25</v>
      </c>
      <c r="I339" s="6">
        <v>44652</v>
      </c>
      <c r="J339" s="4">
        <v>0</v>
      </c>
      <c r="K339" s="4">
        <v>0</v>
      </c>
      <c r="L339" s="4">
        <v>31.698</v>
      </c>
      <c r="M339" s="4">
        <v>31.698</v>
      </c>
      <c r="N339" s="4">
        <v>31.698</v>
      </c>
      <c r="O339" s="4">
        <v>31.698</v>
      </c>
      <c r="P339" s="4">
        <v>0</v>
      </c>
      <c r="Q339" s="3" t="s">
        <v>26</v>
      </c>
      <c r="R339" s="3">
        <v>0</v>
      </c>
      <c r="S339" s="4">
        <v>0</v>
      </c>
      <c r="T339" s="4">
        <v>20</v>
      </c>
      <c r="U339" s="4">
        <v>52</v>
      </c>
      <c r="V339" s="4">
        <f>IF(ISERROR(VLOOKUP($S$339,'TAR FIN'!$A$1:$O$85,15,0)),0,VLOOKUP($S$339,'TAR FIN'!$A$1:$O$85,15,0))</f>
        <v>0</v>
      </c>
      <c r="W339" s="4">
        <f>IF(ISERROR(VLOOKUP($T$339,'TAR FIN'!$A$1:$O$85,15,0)),0,VLOOKUP($T$339,'TAR FIN'!$A$1:$O$85,15,0))</f>
        <v>323.62</v>
      </c>
      <c r="X339" s="4">
        <f>IF(ISERROR(VLOOKUP($U$339,'TAR FIN'!$A$1:$O$85,15,0)),0,VLOOKUP($U$339,'TAR FIN'!$A$1:$O$85,15,0))</f>
        <v>235.76</v>
      </c>
      <c r="Y339" s="4"/>
      <c r="Z339" s="4">
        <f ca="1">('TUSD BE'!$AM$33+'TUSD BF'!$AM$33+'TUSD CVA'!$AM$33)*(1-CUSTOS!$M$38)</f>
        <v>411.34661537566791</v>
      </c>
      <c r="AA339" s="4">
        <f>('TE BE'!$AB$23+'TE BF'!$AB$23+'TE CVA'!$AB$23)*(1-CUSTOS!$M$38)</f>
        <v>174.29557455563423</v>
      </c>
      <c r="AB339" s="4">
        <f>$K$339*$V$339</f>
        <v>0</v>
      </c>
      <c r="AC339" s="4">
        <f>$M$339*$W$339</f>
        <v>10258.106760000001</v>
      </c>
      <c r="AD339" s="4">
        <f>$O$339*$X$339</f>
        <v>7473.1204799999996</v>
      </c>
      <c r="AE339" s="4">
        <f>$K$339*$Y$339</f>
        <v>0</v>
      </c>
      <c r="AF339" s="4">
        <f ca="1">$M$339*$Z$339</f>
        <v>13038.865014177922</v>
      </c>
      <c r="AG339" s="4">
        <f>$O$339*$AA$339</f>
        <v>5524.8211222644941</v>
      </c>
    </row>
    <row r="340" spans="1:33" ht="11.25" customHeight="1" x14ac:dyDescent="0.25">
      <c r="A340" s="3" t="s">
        <v>21</v>
      </c>
      <c r="B340" s="3" t="s">
        <v>40</v>
      </c>
      <c r="C340" s="3" t="s">
        <v>23</v>
      </c>
      <c r="D340" s="3" t="s">
        <v>41</v>
      </c>
      <c r="E340" s="3" t="s">
        <v>50</v>
      </c>
      <c r="F340" s="3" t="s">
        <v>51</v>
      </c>
      <c r="G340" s="3" t="s">
        <v>25</v>
      </c>
      <c r="H340" s="3" t="s">
        <v>25</v>
      </c>
      <c r="I340" s="6">
        <v>44682</v>
      </c>
      <c r="J340" s="4">
        <v>0</v>
      </c>
      <c r="K340" s="4">
        <v>0</v>
      </c>
      <c r="L340" s="4">
        <v>96.450999999999993</v>
      </c>
      <c r="M340" s="4">
        <v>96.450999999999993</v>
      </c>
      <c r="N340" s="4">
        <v>96.450999999999993</v>
      </c>
      <c r="O340" s="4">
        <v>96.450999999999993</v>
      </c>
      <c r="P340" s="4">
        <v>0</v>
      </c>
      <c r="Q340" s="3" t="s">
        <v>26</v>
      </c>
      <c r="R340" s="3">
        <v>0</v>
      </c>
      <c r="S340" s="4">
        <v>0</v>
      </c>
      <c r="T340" s="4">
        <v>20</v>
      </c>
      <c r="U340" s="4">
        <v>52</v>
      </c>
      <c r="V340" s="4">
        <f>IF(ISERROR(VLOOKUP($S$340,'TAR FIN'!$A$1:$O$85,15,0)),0,VLOOKUP($S$340,'TAR FIN'!$A$1:$O$85,15,0))</f>
        <v>0</v>
      </c>
      <c r="W340" s="4">
        <f>IF(ISERROR(VLOOKUP($T$340,'TAR FIN'!$A$1:$O$85,15,0)),0,VLOOKUP($T$340,'TAR FIN'!$A$1:$O$85,15,0))</f>
        <v>323.62</v>
      </c>
      <c r="X340" s="4">
        <f>IF(ISERROR(VLOOKUP($U$340,'TAR FIN'!$A$1:$O$85,15,0)),0,VLOOKUP($U$340,'TAR FIN'!$A$1:$O$85,15,0))</f>
        <v>235.76</v>
      </c>
      <c r="Y340" s="4"/>
      <c r="Z340" s="4">
        <f ca="1">('TUSD BE'!$AM$33+'TUSD BF'!$AM$33+'TUSD CVA'!$AM$33)*(1-CUSTOS!$M$38)</f>
        <v>411.34661537566791</v>
      </c>
      <c r="AA340" s="4">
        <f>('TE BE'!$AB$23+'TE BF'!$AB$23+'TE CVA'!$AB$23)*(1-CUSTOS!$M$38)</f>
        <v>174.29557455563423</v>
      </c>
      <c r="AB340" s="4">
        <f>$K$340*$V$340</f>
        <v>0</v>
      </c>
      <c r="AC340" s="4">
        <f>$M$340*$W$340</f>
        <v>31213.472619999997</v>
      </c>
      <c r="AD340" s="4">
        <f>$O$340*$X$340</f>
        <v>22739.287759999999</v>
      </c>
      <c r="AE340" s="4">
        <f>$K$340*$Y$340</f>
        <v>0</v>
      </c>
      <c r="AF340" s="4">
        <f ca="1">$M$340*$Z$340</f>
        <v>39674.79239959854</v>
      </c>
      <c r="AG340" s="4">
        <f>$O$340*$AA$340</f>
        <v>16810.982461465475</v>
      </c>
    </row>
    <row r="341" spans="1:33" ht="11.25" customHeight="1" x14ac:dyDescent="0.25">
      <c r="A341" s="3" t="s">
        <v>21</v>
      </c>
      <c r="B341" s="3" t="s">
        <v>40</v>
      </c>
      <c r="C341" s="3" t="s">
        <v>23</v>
      </c>
      <c r="D341" s="3" t="s">
        <v>41</v>
      </c>
      <c r="E341" s="3" t="s">
        <v>50</v>
      </c>
      <c r="F341" s="3" t="s">
        <v>51</v>
      </c>
      <c r="G341" s="3" t="s">
        <v>25</v>
      </c>
      <c r="H341" s="3" t="s">
        <v>25</v>
      </c>
      <c r="I341" s="6">
        <v>44713</v>
      </c>
      <c r="J341" s="4">
        <v>0</v>
      </c>
      <c r="K341" s="4">
        <v>0</v>
      </c>
      <c r="L341" s="4">
        <v>107.41500000000001</v>
      </c>
      <c r="M341" s="4">
        <v>107.41500000000001</v>
      </c>
      <c r="N341" s="4">
        <v>107.41500000000001</v>
      </c>
      <c r="O341" s="4">
        <v>107.41500000000001</v>
      </c>
      <c r="P341" s="4">
        <v>0</v>
      </c>
      <c r="Q341" s="3" t="s">
        <v>26</v>
      </c>
      <c r="R341" s="3">
        <v>0</v>
      </c>
      <c r="S341" s="4">
        <v>0</v>
      </c>
      <c r="T341" s="4">
        <v>20</v>
      </c>
      <c r="U341" s="4">
        <v>52</v>
      </c>
      <c r="V341" s="4">
        <f>IF(ISERROR(VLOOKUP($S$341,'TAR FIN'!$A$1:$O$85,15,0)),0,VLOOKUP($S$341,'TAR FIN'!$A$1:$O$85,15,0))</f>
        <v>0</v>
      </c>
      <c r="W341" s="4">
        <f>IF(ISERROR(VLOOKUP($T$341,'TAR FIN'!$A$1:$O$85,15,0)),0,VLOOKUP($T$341,'TAR FIN'!$A$1:$O$85,15,0))</f>
        <v>323.62</v>
      </c>
      <c r="X341" s="4">
        <f>IF(ISERROR(VLOOKUP($U$341,'TAR FIN'!$A$1:$O$85,15,0)),0,VLOOKUP($U$341,'TAR FIN'!$A$1:$O$85,15,0))</f>
        <v>235.76</v>
      </c>
      <c r="Y341" s="4"/>
      <c r="Z341" s="4">
        <f ca="1">('TUSD BE'!$AM$33+'TUSD BF'!$AM$33+'TUSD CVA'!$AM$33)*(1-CUSTOS!$M$38)</f>
        <v>411.34661537566791</v>
      </c>
      <c r="AA341" s="4">
        <f>('TE BE'!$AB$23+'TE BF'!$AB$23+'TE CVA'!$AB$23)*(1-CUSTOS!$M$38)</f>
        <v>174.29557455563423</v>
      </c>
      <c r="AB341" s="4">
        <f>$K$341*$V$341</f>
        <v>0</v>
      </c>
      <c r="AC341" s="4">
        <f>$M$341*$W$341</f>
        <v>34761.6423</v>
      </c>
      <c r="AD341" s="4">
        <f>$O$341*$X$341</f>
        <v>25324.160400000001</v>
      </c>
      <c r="AE341" s="4">
        <f>$K$341*$Y$341</f>
        <v>0</v>
      </c>
      <c r="AF341" s="4">
        <f ca="1">$M$341*$Z$341</f>
        <v>44184.796690577372</v>
      </c>
      <c r="AG341" s="4">
        <f>$O$341*$AA$341</f>
        <v>18721.959140893454</v>
      </c>
    </row>
    <row r="342" spans="1:33" ht="11.25" customHeight="1" x14ac:dyDescent="0.25">
      <c r="A342" s="3" t="s">
        <v>21</v>
      </c>
      <c r="B342" s="3" t="s">
        <v>40</v>
      </c>
      <c r="C342" s="3" t="s">
        <v>23</v>
      </c>
      <c r="D342" s="3" t="s">
        <v>41</v>
      </c>
      <c r="E342" s="3" t="s">
        <v>50</v>
      </c>
      <c r="F342" s="3" t="s">
        <v>51</v>
      </c>
      <c r="G342" s="3" t="s">
        <v>25</v>
      </c>
      <c r="H342" s="3" t="s">
        <v>25</v>
      </c>
      <c r="I342" s="6">
        <v>44743</v>
      </c>
      <c r="J342" s="4">
        <v>0</v>
      </c>
      <c r="K342" s="4">
        <v>0</v>
      </c>
      <c r="L342" s="4">
        <v>104.85899999999999</v>
      </c>
      <c r="M342" s="4">
        <v>104.85899999999999</v>
      </c>
      <c r="N342" s="4">
        <v>104.85899999999999</v>
      </c>
      <c r="O342" s="4">
        <v>104.85899999999999</v>
      </c>
      <c r="P342" s="4">
        <v>0</v>
      </c>
      <c r="Q342" s="3" t="s">
        <v>26</v>
      </c>
      <c r="R342" s="3">
        <v>0</v>
      </c>
      <c r="S342" s="4">
        <v>0</v>
      </c>
      <c r="T342" s="4">
        <v>20</v>
      </c>
      <c r="U342" s="4">
        <v>52</v>
      </c>
      <c r="V342" s="4">
        <f>IF(ISERROR(VLOOKUP($S$342,'TAR FIN'!$A$1:$O$85,15,0)),0,VLOOKUP($S$342,'TAR FIN'!$A$1:$O$85,15,0))</f>
        <v>0</v>
      </c>
      <c r="W342" s="4">
        <f>IF(ISERROR(VLOOKUP($T$342,'TAR FIN'!$A$1:$O$85,15,0)),0,VLOOKUP($T$342,'TAR FIN'!$A$1:$O$85,15,0))</f>
        <v>323.62</v>
      </c>
      <c r="X342" s="4">
        <f>IF(ISERROR(VLOOKUP($U$342,'TAR FIN'!$A$1:$O$85,15,0)),0,VLOOKUP($U$342,'TAR FIN'!$A$1:$O$85,15,0))</f>
        <v>235.76</v>
      </c>
      <c r="Y342" s="4"/>
      <c r="Z342" s="4">
        <f ca="1">('TUSD BE'!$AM$33+'TUSD BF'!$AM$33+'TUSD CVA'!$AM$33)*(1-CUSTOS!$M$38)</f>
        <v>411.34661537566791</v>
      </c>
      <c r="AA342" s="4">
        <f>('TE BE'!$AB$23+'TE BF'!$AB$23+'TE CVA'!$AB$23)*(1-CUSTOS!$M$38)</f>
        <v>174.29557455563423</v>
      </c>
      <c r="AB342" s="4">
        <f>$K$342*$V$342</f>
        <v>0</v>
      </c>
      <c r="AC342" s="4">
        <f>$M$342*$W$342</f>
        <v>33934.469579999997</v>
      </c>
      <c r="AD342" s="4">
        <f>$O$342*$X$342</f>
        <v>24721.557839999998</v>
      </c>
      <c r="AE342" s="4">
        <f>$K$342*$Y$342</f>
        <v>0</v>
      </c>
      <c r="AF342" s="4">
        <f ca="1">$M$342*$Z$342</f>
        <v>43133.394741677163</v>
      </c>
      <c r="AG342" s="4">
        <f>$O$342*$AA$342</f>
        <v>18276.459652329249</v>
      </c>
    </row>
    <row r="343" spans="1:33" ht="11.25" customHeight="1" x14ac:dyDescent="0.25">
      <c r="A343" s="3" t="s">
        <v>21</v>
      </c>
      <c r="B343" s="3" t="s">
        <v>40</v>
      </c>
      <c r="C343" s="3" t="s">
        <v>23</v>
      </c>
      <c r="D343" s="3" t="s">
        <v>41</v>
      </c>
      <c r="E343" s="3" t="s">
        <v>50</v>
      </c>
      <c r="F343" s="3" t="s">
        <v>51</v>
      </c>
      <c r="G343" s="3" t="s">
        <v>25</v>
      </c>
      <c r="H343" s="3" t="s">
        <v>25</v>
      </c>
      <c r="I343" s="6">
        <v>44774</v>
      </c>
      <c r="J343" s="4">
        <v>0</v>
      </c>
      <c r="K343" s="4">
        <v>0</v>
      </c>
      <c r="L343" s="4">
        <v>156.339</v>
      </c>
      <c r="M343" s="4">
        <v>156.339</v>
      </c>
      <c r="N343" s="4">
        <v>156.339</v>
      </c>
      <c r="O343" s="4">
        <v>156.339</v>
      </c>
      <c r="P343" s="4">
        <v>0</v>
      </c>
      <c r="Q343" s="3" t="s">
        <v>26</v>
      </c>
      <c r="R343" s="3">
        <v>0</v>
      </c>
      <c r="S343" s="4">
        <v>0</v>
      </c>
      <c r="T343" s="4">
        <v>20</v>
      </c>
      <c r="U343" s="4">
        <v>52</v>
      </c>
      <c r="V343" s="4">
        <f>IF(ISERROR(VLOOKUP($S$343,'TAR FIN'!$A$1:$O$85,15,0)),0,VLOOKUP($S$343,'TAR FIN'!$A$1:$O$85,15,0))</f>
        <v>0</v>
      </c>
      <c r="W343" s="4">
        <f>IF(ISERROR(VLOOKUP($T$343,'TAR FIN'!$A$1:$O$85,15,0)),0,VLOOKUP($T$343,'TAR FIN'!$A$1:$O$85,15,0))</f>
        <v>323.62</v>
      </c>
      <c r="X343" s="4">
        <f>IF(ISERROR(VLOOKUP($U$343,'TAR FIN'!$A$1:$O$85,15,0)),0,VLOOKUP($U$343,'TAR FIN'!$A$1:$O$85,15,0))</f>
        <v>235.76</v>
      </c>
      <c r="Y343" s="4"/>
      <c r="Z343" s="4">
        <f ca="1">('TUSD BE'!$AM$33+'TUSD BF'!$AM$33+'TUSD CVA'!$AM$33)*(1-CUSTOS!$M$38)</f>
        <v>411.34661537566791</v>
      </c>
      <c r="AA343" s="4">
        <f>('TE BE'!$AB$23+'TE BF'!$AB$23+'TE CVA'!$AB$23)*(1-CUSTOS!$M$38)</f>
        <v>174.29557455563423</v>
      </c>
      <c r="AB343" s="4">
        <f>$K$343*$V$343</f>
        <v>0</v>
      </c>
      <c r="AC343" s="4">
        <f>$M$343*$W$343</f>
        <v>50594.427179999999</v>
      </c>
      <c r="AD343" s="4">
        <f>$O$343*$X$343</f>
        <v>36858.482639999995</v>
      </c>
      <c r="AE343" s="4">
        <f>$K$343*$Y$343</f>
        <v>0</v>
      </c>
      <c r="AF343" s="4">
        <f ca="1">$M$343*$Z$343</f>
        <v>64309.518501216546</v>
      </c>
      <c r="AG343" s="4">
        <f>$O$343*$AA$343</f>
        <v>27249.1958304533</v>
      </c>
    </row>
    <row r="344" spans="1:33" ht="11.25" customHeight="1" x14ac:dyDescent="0.25">
      <c r="A344" s="3" t="s">
        <v>21</v>
      </c>
      <c r="B344" s="3" t="s">
        <v>40</v>
      </c>
      <c r="C344" s="3" t="s">
        <v>23</v>
      </c>
      <c r="D344" s="3" t="s">
        <v>41</v>
      </c>
      <c r="E344" s="3" t="s">
        <v>50</v>
      </c>
      <c r="F344" s="3" t="s">
        <v>52</v>
      </c>
      <c r="G344" s="3" t="s">
        <v>25</v>
      </c>
      <c r="H344" s="3" t="s">
        <v>25</v>
      </c>
      <c r="I344" s="6">
        <v>44440</v>
      </c>
      <c r="J344" s="4">
        <v>0</v>
      </c>
      <c r="K344" s="4">
        <v>0</v>
      </c>
      <c r="L344" s="4">
        <v>87.742000000000004</v>
      </c>
      <c r="M344" s="4">
        <v>35.096800000000002</v>
      </c>
      <c r="N344" s="4">
        <v>87.742000000000004</v>
      </c>
      <c r="O344" s="4">
        <v>35.096800000000002</v>
      </c>
      <c r="P344" s="4">
        <v>0</v>
      </c>
      <c r="Q344" s="3" t="s">
        <v>26</v>
      </c>
      <c r="R344" s="3">
        <v>0</v>
      </c>
      <c r="S344" s="4">
        <v>0</v>
      </c>
      <c r="T344" s="4">
        <v>20</v>
      </c>
      <c r="U344" s="4">
        <v>52</v>
      </c>
      <c r="V344" s="4">
        <f>IF(ISERROR(VLOOKUP($S$344,'TAR FIN'!$A$1:$O$85,15,0)),0,VLOOKUP($S$344,'TAR FIN'!$A$1:$O$85,15,0))</f>
        <v>0</v>
      </c>
      <c r="W344" s="4">
        <f>IF(ISERROR(VLOOKUP($T$344,'TAR FIN'!$A$1:$O$85,15,0)),0,VLOOKUP($T$344,'TAR FIN'!$A$1:$O$85,15,0))</f>
        <v>323.62</v>
      </c>
      <c r="X344" s="4">
        <f>IF(ISERROR(VLOOKUP($U$344,'TAR FIN'!$A$1:$O$85,15,0)),0,VLOOKUP($U$344,'TAR FIN'!$A$1:$O$85,15,0))</f>
        <v>235.76</v>
      </c>
      <c r="Y344" s="4"/>
      <c r="Z344" s="4">
        <f ca="1">('TUSD BE'!$AM$33+'TUSD BF'!$AM$33+'TUSD CVA'!$AM$33)*(1-CUSTOS!$M$38)</f>
        <v>411.34661537566791</v>
      </c>
      <c r="AA344" s="4">
        <f>('TE BE'!$AB$23+'TE BF'!$AB$23+'TE CVA'!$AB$23)*(1-CUSTOS!$M$38)</f>
        <v>174.29557455563423</v>
      </c>
      <c r="AB344" s="4">
        <f>$K$344*$V$344</f>
        <v>0</v>
      </c>
      <c r="AC344" s="4">
        <f>$M$344*$W$344</f>
        <v>11358.026416000001</v>
      </c>
      <c r="AD344" s="4">
        <f>$O$344*$X$344</f>
        <v>8274.4215679999998</v>
      </c>
      <c r="AE344" s="4">
        <f>$K$344*$Y$344</f>
        <v>0</v>
      </c>
      <c r="AF344" s="4">
        <f ca="1">$M$344*$Z$344</f>
        <v>14436.949890516742</v>
      </c>
      <c r="AG344" s="4">
        <f>$O$344*$AA$344</f>
        <v>6117.2169210641841</v>
      </c>
    </row>
    <row r="345" spans="1:33" ht="11.25" customHeight="1" x14ac:dyDescent="0.25">
      <c r="A345" s="3" t="s">
        <v>21</v>
      </c>
      <c r="B345" s="3" t="s">
        <v>40</v>
      </c>
      <c r="C345" s="3" t="s">
        <v>23</v>
      </c>
      <c r="D345" s="3" t="s">
        <v>41</v>
      </c>
      <c r="E345" s="3" t="s">
        <v>50</v>
      </c>
      <c r="F345" s="3" t="s">
        <v>52</v>
      </c>
      <c r="G345" s="3" t="s">
        <v>25</v>
      </c>
      <c r="H345" s="3" t="s">
        <v>25</v>
      </c>
      <c r="I345" s="6">
        <v>44470</v>
      </c>
      <c r="J345" s="4">
        <v>0</v>
      </c>
      <c r="K345" s="4">
        <v>0</v>
      </c>
      <c r="L345" s="4">
        <v>112.003</v>
      </c>
      <c r="M345" s="4">
        <v>44.801200000000001</v>
      </c>
      <c r="N345" s="4">
        <v>112.003</v>
      </c>
      <c r="O345" s="4">
        <v>44.801200000000001</v>
      </c>
      <c r="P345" s="4">
        <v>0</v>
      </c>
      <c r="Q345" s="3" t="s">
        <v>26</v>
      </c>
      <c r="R345" s="3">
        <v>0</v>
      </c>
      <c r="S345" s="4">
        <v>0</v>
      </c>
      <c r="T345" s="4">
        <v>20</v>
      </c>
      <c r="U345" s="4">
        <v>52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323.62</v>
      </c>
      <c r="X345" s="4">
        <f>IF(ISERROR(VLOOKUP($U$345,'TAR FIN'!$A$1:$O$85,15,0)),0,VLOOKUP($U$345,'TAR FIN'!$A$1:$O$85,15,0))</f>
        <v>235.76</v>
      </c>
      <c r="Y345" s="4"/>
      <c r="Z345" s="4">
        <f ca="1">('TUSD BE'!$AM$33+'TUSD BF'!$AM$33+'TUSD CVA'!$AM$33)*(1-CUSTOS!$M$38)</f>
        <v>411.34661537566791</v>
      </c>
      <c r="AA345" s="4">
        <f>('TE BE'!$AB$23+'TE BF'!$AB$23+'TE CVA'!$AB$23)*(1-CUSTOS!$M$38)</f>
        <v>174.29557455563423</v>
      </c>
      <c r="AB345" s="4">
        <f>$K$345*$V$345</f>
        <v>0</v>
      </c>
      <c r="AC345" s="4">
        <f>$M$345*$W$345</f>
        <v>14498.564344</v>
      </c>
      <c r="AD345" s="4">
        <f>$O$345*$X$345</f>
        <v>10562.330911999999</v>
      </c>
      <c r="AE345" s="4">
        <f>$K$345*$Y$345</f>
        <v>0</v>
      </c>
      <c r="AF345" s="4">
        <f ca="1">$M$345*$Z$345</f>
        <v>18428.821984768372</v>
      </c>
      <c r="AG345" s="4">
        <f>$O$345*$AA$345</f>
        <v>7808.6508947818802</v>
      </c>
    </row>
    <row r="346" spans="1:33" ht="11.25" customHeight="1" x14ac:dyDescent="0.25">
      <c r="A346" s="3" t="s">
        <v>21</v>
      </c>
      <c r="B346" s="3" t="s">
        <v>40</v>
      </c>
      <c r="C346" s="3" t="s">
        <v>23</v>
      </c>
      <c r="D346" s="3" t="s">
        <v>41</v>
      </c>
      <c r="E346" s="3" t="s">
        <v>50</v>
      </c>
      <c r="F346" s="3" t="s">
        <v>52</v>
      </c>
      <c r="G346" s="3" t="s">
        <v>25</v>
      </c>
      <c r="H346" s="3" t="s">
        <v>25</v>
      </c>
      <c r="I346" s="6">
        <v>44501</v>
      </c>
      <c r="J346" s="4">
        <v>0</v>
      </c>
      <c r="K346" s="4">
        <v>0</v>
      </c>
      <c r="L346" s="4">
        <v>22.62</v>
      </c>
      <c r="M346" s="4">
        <v>9.048</v>
      </c>
      <c r="N346" s="4">
        <v>22.62</v>
      </c>
      <c r="O346" s="4">
        <v>9.048</v>
      </c>
      <c r="P346" s="4">
        <v>0</v>
      </c>
      <c r="Q346" s="3" t="s">
        <v>26</v>
      </c>
      <c r="R346" s="3">
        <v>0</v>
      </c>
      <c r="S346" s="4">
        <v>0</v>
      </c>
      <c r="T346" s="4">
        <v>20</v>
      </c>
      <c r="U346" s="4">
        <v>52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323.62</v>
      </c>
      <c r="X346" s="4">
        <f>IF(ISERROR(VLOOKUP($U$346,'TAR FIN'!$A$1:$O$85,15,0)),0,VLOOKUP($U$346,'TAR FIN'!$A$1:$O$85,15,0))</f>
        <v>235.76</v>
      </c>
      <c r="Y346" s="4"/>
      <c r="Z346" s="4">
        <f ca="1">('TUSD BE'!$AM$33+'TUSD BF'!$AM$33+'TUSD CVA'!$AM$33)*(1-CUSTOS!$M$38)</f>
        <v>411.34661537566791</v>
      </c>
      <c r="AA346" s="4">
        <f>('TE BE'!$AB$23+'TE BF'!$AB$23+'TE CVA'!$AB$23)*(1-CUSTOS!$M$38)</f>
        <v>174.29557455563423</v>
      </c>
      <c r="AB346" s="4">
        <f>$K$346*$V$346</f>
        <v>0</v>
      </c>
      <c r="AC346" s="4">
        <f>$M$346*$W$346</f>
        <v>2928.1137600000002</v>
      </c>
      <c r="AD346" s="4">
        <f>$O$346*$X$346</f>
        <v>2133.1564800000001</v>
      </c>
      <c r="AE346" s="4">
        <f>$K$346*$Y$346</f>
        <v>0</v>
      </c>
      <c r="AF346" s="4">
        <f ca="1">$M$346*$Z$346</f>
        <v>3721.8641759190432</v>
      </c>
      <c r="AG346" s="4">
        <f>$O$346*$AA$346</f>
        <v>1577.0263585793784</v>
      </c>
    </row>
    <row r="347" spans="1:33" ht="11.25" customHeight="1" x14ac:dyDescent="0.25">
      <c r="A347" s="3" t="s">
        <v>21</v>
      </c>
      <c r="B347" s="3" t="s">
        <v>40</v>
      </c>
      <c r="C347" s="3" t="s">
        <v>23</v>
      </c>
      <c r="D347" s="3" t="s">
        <v>41</v>
      </c>
      <c r="E347" s="3" t="s">
        <v>50</v>
      </c>
      <c r="F347" s="3" t="s">
        <v>52</v>
      </c>
      <c r="G347" s="3" t="s">
        <v>25</v>
      </c>
      <c r="H347" s="3" t="s">
        <v>25</v>
      </c>
      <c r="I347" s="6">
        <v>44531</v>
      </c>
      <c r="J347" s="4">
        <v>0</v>
      </c>
      <c r="K347" s="4">
        <v>0</v>
      </c>
      <c r="L347" s="4">
        <v>17.277999999999999</v>
      </c>
      <c r="M347" s="4">
        <v>6.9112</v>
      </c>
      <c r="N347" s="4">
        <v>17.277999999999999</v>
      </c>
      <c r="O347" s="4">
        <v>6.9112</v>
      </c>
      <c r="P347" s="4">
        <v>0</v>
      </c>
      <c r="Q347" s="3" t="s">
        <v>26</v>
      </c>
      <c r="R347" s="3">
        <v>0</v>
      </c>
      <c r="S347" s="4">
        <v>0</v>
      </c>
      <c r="T347" s="4">
        <v>20</v>
      </c>
      <c r="U347" s="4">
        <v>52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323.62</v>
      </c>
      <c r="X347" s="4">
        <f>IF(ISERROR(VLOOKUP($U$347,'TAR FIN'!$A$1:$O$85,15,0)),0,VLOOKUP($U$347,'TAR FIN'!$A$1:$O$85,15,0))</f>
        <v>235.76</v>
      </c>
      <c r="Y347" s="4"/>
      <c r="Z347" s="4">
        <f ca="1">('TUSD BE'!$AM$33+'TUSD BF'!$AM$33+'TUSD CVA'!$AM$33)*(1-CUSTOS!$M$38)</f>
        <v>411.34661537566791</v>
      </c>
      <c r="AA347" s="4">
        <f>('TE BE'!$AB$23+'TE BF'!$AB$23+'TE CVA'!$AB$23)*(1-CUSTOS!$M$38)</f>
        <v>174.29557455563423</v>
      </c>
      <c r="AB347" s="4">
        <f>$K$347*$V$347</f>
        <v>0</v>
      </c>
      <c r="AC347" s="4">
        <f>$M$347*$W$347</f>
        <v>2236.6025439999999</v>
      </c>
      <c r="AD347" s="4">
        <f>$O$347*$X$347</f>
        <v>1629.3845119999999</v>
      </c>
      <c r="AE347" s="4">
        <f>$K$347*$Y$347</f>
        <v>0</v>
      </c>
      <c r="AF347" s="4">
        <f ca="1">$M$347*$Z$347</f>
        <v>2842.898728184316</v>
      </c>
      <c r="AG347" s="4">
        <f>$O$347*$AA$347</f>
        <v>1204.5915748688992</v>
      </c>
    </row>
    <row r="348" spans="1:33" ht="11.25" customHeight="1" x14ac:dyDescent="0.25">
      <c r="A348" s="3" t="s">
        <v>21</v>
      </c>
      <c r="B348" s="3" t="s">
        <v>40</v>
      </c>
      <c r="C348" s="3" t="s">
        <v>23</v>
      </c>
      <c r="D348" s="3" t="s">
        <v>41</v>
      </c>
      <c r="E348" s="3" t="s">
        <v>50</v>
      </c>
      <c r="F348" s="3" t="s">
        <v>52</v>
      </c>
      <c r="G348" s="3" t="s">
        <v>25</v>
      </c>
      <c r="H348" s="3" t="s">
        <v>25</v>
      </c>
      <c r="I348" s="6">
        <v>44562</v>
      </c>
      <c r="J348" s="4">
        <v>0</v>
      </c>
      <c r="K348" s="4">
        <v>0</v>
      </c>
      <c r="L348" s="4">
        <v>5.5650000000000004</v>
      </c>
      <c r="M348" s="4">
        <v>2.226</v>
      </c>
      <c r="N348" s="4">
        <v>5.5650000000000004</v>
      </c>
      <c r="O348" s="4">
        <v>2.226</v>
      </c>
      <c r="P348" s="4">
        <v>0</v>
      </c>
      <c r="Q348" s="3" t="s">
        <v>26</v>
      </c>
      <c r="R348" s="3">
        <v>0</v>
      </c>
      <c r="S348" s="4">
        <v>0</v>
      </c>
      <c r="T348" s="4">
        <v>20</v>
      </c>
      <c r="U348" s="4">
        <v>52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323.62</v>
      </c>
      <c r="X348" s="4">
        <f>IF(ISERROR(VLOOKUP($U$348,'TAR FIN'!$A$1:$O$85,15,0)),0,VLOOKUP($U$348,'TAR FIN'!$A$1:$O$85,15,0))</f>
        <v>235.76</v>
      </c>
      <c r="Y348" s="4"/>
      <c r="Z348" s="4">
        <f ca="1">('TUSD BE'!$AM$33+'TUSD BF'!$AM$33+'TUSD CVA'!$AM$33)*(1-CUSTOS!$M$38)</f>
        <v>411.34661537566791</v>
      </c>
      <c r="AA348" s="4">
        <f>('TE BE'!$AB$23+'TE BF'!$AB$23+'TE CVA'!$AB$23)*(1-CUSTOS!$M$38)</f>
        <v>174.29557455563423</v>
      </c>
      <c r="AB348" s="4">
        <f>$K$348*$V$348</f>
        <v>0</v>
      </c>
      <c r="AC348" s="4">
        <f>$M$348*$W$348</f>
        <v>720.37811999999997</v>
      </c>
      <c r="AD348" s="4">
        <f>$O$348*$X$348</f>
        <v>524.80175999999994</v>
      </c>
      <c r="AE348" s="4">
        <f>$K$348*$Y$348</f>
        <v>0</v>
      </c>
      <c r="AF348" s="4">
        <f ca="1">$M$348*$Z$348</f>
        <v>915.65756582623681</v>
      </c>
      <c r="AG348" s="4">
        <f>$O$348*$AA$348</f>
        <v>387.98194896084181</v>
      </c>
    </row>
    <row r="349" spans="1:33" ht="11.25" customHeight="1" x14ac:dyDescent="0.25">
      <c r="A349" s="3" t="s">
        <v>21</v>
      </c>
      <c r="B349" s="3" t="s">
        <v>40</v>
      </c>
      <c r="C349" s="3" t="s">
        <v>23</v>
      </c>
      <c r="D349" s="3" t="s">
        <v>41</v>
      </c>
      <c r="E349" s="3" t="s">
        <v>50</v>
      </c>
      <c r="F349" s="3" t="s">
        <v>52</v>
      </c>
      <c r="G349" s="3" t="s">
        <v>25</v>
      </c>
      <c r="H349" s="3" t="s">
        <v>25</v>
      </c>
      <c r="I349" s="6">
        <v>44593</v>
      </c>
      <c r="J349" s="4">
        <v>0</v>
      </c>
      <c r="K349" s="4">
        <v>0</v>
      </c>
      <c r="L349" s="4">
        <v>4.9180000000000001</v>
      </c>
      <c r="M349" s="4">
        <v>1.9672000000000001</v>
      </c>
      <c r="N349" s="4">
        <v>4.9180000000000001</v>
      </c>
      <c r="O349" s="4">
        <v>1.9672000000000001</v>
      </c>
      <c r="P349" s="4">
        <v>0</v>
      </c>
      <c r="Q349" s="3" t="s">
        <v>26</v>
      </c>
      <c r="R349" s="3">
        <v>0</v>
      </c>
      <c r="S349" s="4">
        <v>0</v>
      </c>
      <c r="T349" s="4">
        <v>20</v>
      </c>
      <c r="U349" s="4">
        <v>52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323.62</v>
      </c>
      <c r="X349" s="4">
        <f>IF(ISERROR(VLOOKUP($U$349,'TAR FIN'!$A$1:$O$85,15,0)),0,VLOOKUP($U$349,'TAR FIN'!$A$1:$O$85,15,0))</f>
        <v>235.76</v>
      </c>
      <c r="Y349" s="4"/>
      <c r="Z349" s="4">
        <f ca="1">('TUSD BE'!$AM$33+'TUSD BF'!$AM$33+'TUSD CVA'!$AM$33)*(1-CUSTOS!$M$38)</f>
        <v>411.34661537566791</v>
      </c>
      <c r="AA349" s="4">
        <f>('TE BE'!$AB$23+'TE BF'!$AB$23+'TE CVA'!$AB$23)*(1-CUSTOS!$M$38)</f>
        <v>174.29557455563423</v>
      </c>
      <c r="AB349" s="4">
        <f>$K$349*$V$349</f>
        <v>0</v>
      </c>
      <c r="AC349" s="4">
        <f>$M$349*$W$349</f>
        <v>636.62526400000002</v>
      </c>
      <c r="AD349" s="4">
        <f>$O$349*$X$349</f>
        <v>463.78707200000002</v>
      </c>
      <c r="AE349" s="4">
        <f>$K$349*$Y$349</f>
        <v>0</v>
      </c>
      <c r="AF349" s="4">
        <f ca="1">$M$349*$Z$349</f>
        <v>809.20106176701393</v>
      </c>
      <c r="AG349" s="4">
        <f>$O$349*$AA$349</f>
        <v>342.87425426584366</v>
      </c>
    </row>
    <row r="350" spans="1:33" ht="11.25" customHeight="1" x14ac:dyDescent="0.25">
      <c r="A350" s="3" t="s">
        <v>21</v>
      </c>
      <c r="B350" s="3" t="s">
        <v>40</v>
      </c>
      <c r="C350" s="3" t="s">
        <v>23</v>
      </c>
      <c r="D350" s="3" t="s">
        <v>41</v>
      </c>
      <c r="E350" s="3" t="s">
        <v>50</v>
      </c>
      <c r="F350" s="3" t="s">
        <v>52</v>
      </c>
      <c r="G350" s="3" t="s">
        <v>25</v>
      </c>
      <c r="H350" s="3" t="s">
        <v>25</v>
      </c>
      <c r="I350" s="6">
        <v>44621</v>
      </c>
      <c r="J350" s="4">
        <v>0</v>
      </c>
      <c r="K350" s="4">
        <v>0</v>
      </c>
      <c r="L350" s="4">
        <v>12.819000000000001</v>
      </c>
      <c r="M350" s="4">
        <v>5.1276000000000002</v>
      </c>
      <c r="N350" s="4">
        <v>12.819000000000001</v>
      </c>
      <c r="O350" s="4">
        <v>5.1276000000000002</v>
      </c>
      <c r="P350" s="4">
        <v>0</v>
      </c>
      <c r="Q350" s="3" t="s">
        <v>26</v>
      </c>
      <c r="R350" s="3">
        <v>0</v>
      </c>
      <c r="S350" s="4">
        <v>0</v>
      </c>
      <c r="T350" s="4">
        <v>20</v>
      </c>
      <c r="U350" s="4">
        <v>52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323.62</v>
      </c>
      <c r="X350" s="4">
        <f>IF(ISERROR(VLOOKUP($U$350,'TAR FIN'!$A$1:$O$85,15,0)),0,VLOOKUP($U$350,'TAR FIN'!$A$1:$O$85,15,0))</f>
        <v>235.76</v>
      </c>
      <c r="Y350" s="4"/>
      <c r="Z350" s="4">
        <f ca="1">('TUSD BE'!$AM$33+'TUSD BF'!$AM$33+'TUSD CVA'!$AM$33)*(1-CUSTOS!$M$38)</f>
        <v>411.34661537566791</v>
      </c>
      <c r="AA350" s="4">
        <f>('TE BE'!$AB$23+'TE BF'!$AB$23+'TE CVA'!$AB$23)*(1-CUSTOS!$M$38)</f>
        <v>174.29557455563423</v>
      </c>
      <c r="AB350" s="4">
        <f>$K$350*$V$350</f>
        <v>0</v>
      </c>
      <c r="AC350" s="4">
        <f>$M$350*$W$350</f>
        <v>1659.393912</v>
      </c>
      <c r="AD350" s="4">
        <f>$O$350*$X$350</f>
        <v>1208.8829760000001</v>
      </c>
      <c r="AE350" s="4">
        <f>$K$350*$Y$350</f>
        <v>0</v>
      </c>
      <c r="AF350" s="4">
        <f ca="1">$M$350*$Z$350</f>
        <v>2109.2209050002748</v>
      </c>
      <c r="AG350" s="4">
        <f>$O$350*$AA$350</f>
        <v>893.71798809147015</v>
      </c>
    </row>
    <row r="351" spans="1:33" ht="11.25" customHeight="1" x14ac:dyDescent="0.25">
      <c r="A351" s="3" t="s">
        <v>21</v>
      </c>
      <c r="B351" s="3" t="s">
        <v>40</v>
      </c>
      <c r="C351" s="3" t="s">
        <v>23</v>
      </c>
      <c r="D351" s="3" t="s">
        <v>41</v>
      </c>
      <c r="E351" s="3" t="s">
        <v>50</v>
      </c>
      <c r="F351" s="3" t="s">
        <v>52</v>
      </c>
      <c r="G351" s="3" t="s">
        <v>25</v>
      </c>
      <c r="H351" s="3" t="s">
        <v>25</v>
      </c>
      <c r="I351" s="6">
        <v>44652</v>
      </c>
      <c r="J351" s="4">
        <v>0</v>
      </c>
      <c r="K351" s="4">
        <v>0</v>
      </c>
      <c r="L351" s="4">
        <v>23.279</v>
      </c>
      <c r="M351" s="4">
        <v>9.3116000000000003</v>
      </c>
      <c r="N351" s="4">
        <v>23.279</v>
      </c>
      <c r="O351" s="4">
        <v>9.3116000000000003</v>
      </c>
      <c r="P351" s="4">
        <v>0</v>
      </c>
      <c r="Q351" s="3" t="s">
        <v>26</v>
      </c>
      <c r="R351" s="3">
        <v>0</v>
      </c>
      <c r="S351" s="4">
        <v>0</v>
      </c>
      <c r="T351" s="4">
        <v>20</v>
      </c>
      <c r="U351" s="4">
        <v>52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323.62</v>
      </c>
      <c r="X351" s="4">
        <f>IF(ISERROR(VLOOKUP($U$351,'TAR FIN'!$A$1:$O$85,15,0)),0,VLOOKUP($U$351,'TAR FIN'!$A$1:$O$85,15,0))</f>
        <v>235.76</v>
      </c>
      <c r="Y351" s="4"/>
      <c r="Z351" s="4">
        <f ca="1">('TUSD BE'!$AM$33+'TUSD BF'!$AM$33+'TUSD CVA'!$AM$33)*(1-CUSTOS!$M$38)</f>
        <v>411.34661537566791</v>
      </c>
      <c r="AA351" s="4">
        <f>('TE BE'!$AB$23+'TE BF'!$AB$23+'TE CVA'!$AB$23)*(1-CUSTOS!$M$38)</f>
        <v>174.29557455563423</v>
      </c>
      <c r="AB351" s="4">
        <f>$K$351*$V$351</f>
        <v>0</v>
      </c>
      <c r="AC351" s="4">
        <f>$M$351*$W$351</f>
        <v>3013.4199920000001</v>
      </c>
      <c r="AD351" s="4">
        <f>$O$351*$X$351</f>
        <v>2195.3028159999999</v>
      </c>
      <c r="AE351" s="4">
        <f>$K$351*$Y$351</f>
        <v>0</v>
      </c>
      <c r="AF351" s="4">
        <f ca="1">$M$351*$Z$351</f>
        <v>3830.2951437320694</v>
      </c>
      <c r="AG351" s="4">
        <f>$O$351*$AA$351</f>
        <v>1622.9706720322438</v>
      </c>
    </row>
    <row r="352" spans="1:33" ht="11.25" customHeight="1" x14ac:dyDescent="0.25">
      <c r="A352" s="3" t="s">
        <v>21</v>
      </c>
      <c r="B352" s="3" t="s">
        <v>40</v>
      </c>
      <c r="C352" s="3" t="s">
        <v>23</v>
      </c>
      <c r="D352" s="3" t="s">
        <v>41</v>
      </c>
      <c r="E352" s="3" t="s">
        <v>50</v>
      </c>
      <c r="F352" s="3" t="s">
        <v>52</v>
      </c>
      <c r="G352" s="3" t="s">
        <v>25</v>
      </c>
      <c r="H352" s="3" t="s">
        <v>25</v>
      </c>
      <c r="I352" s="6">
        <v>44682</v>
      </c>
      <c r="J352" s="4">
        <v>0</v>
      </c>
      <c r="K352" s="4">
        <v>0</v>
      </c>
      <c r="L352" s="4">
        <v>71.798000000000002</v>
      </c>
      <c r="M352" s="4">
        <v>28.719200000000001</v>
      </c>
      <c r="N352" s="4">
        <v>71.798000000000002</v>
      </c>
      <c r="O352" s="4">
        <v>28.719200000000001</v>
      </c>
      <c r="P352" s="4">
        <v>0</v>
      </c>
      <c r="Q352" s="3" t="s">
        <v>26</v>
      </c>
      <c r="R352" s="3">
        <v>0</v>
      </c>
      <c r="S352" s="4">
        <v>0</v>
      </c>
      <c r="T352" s="4">
        <v>20</v>
      </c>
      <c r="U352" s="4">
        <v>52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323.62</v>
      </c>
      <c r="X352" s="4">
        <f>IF(ISERROR(VLOOKUP($U$352,'TAR FIN'!$A$1:$O$85,15,0)),0,VLOOKUP($U$352,'TAR FIN'!$A$1:$O$85,15,0))</f>
        <v>235.76</v>
      </c>
      <c r="Y352" s="4"/>
      <c r="Z352" s="4">
        <f ca="1">('TUSD BE'!$AM$33+'TUSD BF'!$AM$33+'TUSD CVA'!$AM$33)*(1-CUSTOS!$M$38)</f>
        <v>411.34661537566791</v>
      </c>
      <c r="AA352" s="4">
        <f>('TE BE'!$AB$23+'TE BF'!$AB$23+'TE CVA'!$AB$23)*(1-CUSTOS!$M$38)</f>
        <v>174.29557455563423</v>
      </c>
      <c r="AB352" s="4">
        <f>$K$352*$V$352</f>
        <v>0</v>
      </c>
      <c r="AC352" s="4">
        <f>$M$352*$W$352</f>
        <v>9294.1075039999996</v>
      </c>
      <c r="AD352" s="4">
        <f>$O$352*$X$352</f>
        <v>6770.8385920000001</v>
      </c>
      <c r="AE352" s="4">
        <f>$K$352*$Y$352</f>
        <v>0</v>
      </c>
      <c r="AF352" s="4">
        <f ca="1">$M$352*$Z$352</f>
        <v>11813.545716296881</v>
      </c>
      <c r="AG352" s="4">
        <f>$O$352*$AA$352</f>
        <v>5005.6294647781706</v>
      </c>
    </row>
    <row r="353" spans="1:33" ht="11.25" customHeight="1" x14ac:dyDescent="0.25">
      <c r="A353" s="3" t="s">
        <v>21</v>
      </c>
      <c r="B353" s="3" t="s">
        <v>40</v>
      </c>
      <c r="C353" s="3" t="s">
        <v>23</v>
      </c>
      <c r="D353" s="3" t="s">
        <v>41</v>
      </c>
      <c r="E353" s="3" t="s">
        <v>50</v>
      </c>
      <c r="F353" s="3" t="s">
        <v>52</v>
      </c>
      <c r="G353" s="3" t="s">
        <v>25</v>
      </c>
      <c r="H353" s="3" t="s">
        <v>25</v>
      </c>
      <c r="I353" s="6">
        <v>44713</v>
      </c>
      <c r="J353" s="4">
        <v>0</v>
      </c>
      <c r="K353" s="4">
        <v>0</v>
      </c>
      <c r="L353" s="4">
        <v>83.411000000000001</v>
      </c>
      <c r="M353" s="4">
        <v>33.364400000000003</v>
      </c>
      <c r="N353" s="4">
        <v>83.411000000000001</v>
      </c>
      <c r="O353" s="4">
        <v>33.364400000000003</v>
      </c>
      <c r="P353" s="4">
        <v>0</v>
      </c>
      <c r="Q353" s="3" t="s">
        <v>26</v>
      </c>
      <c r="R353" s="3">
        <v>0</v>
      </c>
      <c r="S353" s="4">
        <v>0</v>
      </c>
      <c r="T353" s="4">
        <v>20</v>
      </c>
      <c r="U353" s="4">
        <v>52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323.62</v>
      </c>
      <c r="X353" s="4">
        <f>IF(ISERROR(VLOOKUP($U$353,'TAR FIN'!$A$1:$O$85,15,0)),0,VLOOKUP($U$353,'TAR FIN'!$A$1:$O$85,15,0))</f>
        <v>235.76</v>
      </c>
      <c r="Y353" s="4"/>
      <c r="Z353" s="4">
        <f ca="1">('TUSD BE'!$AM$33+'TUSD BF'!$AM$33+'TUSD CVA'!$AM$33)*(1-CUSTOS!$M$38)</f>
        <v>411.34661537566791</v>
      </c>
      <c r="AA353" s="4">
        <f>('TE BE'!$AB$23+'TE BF'!$AB$23+'TE CVA'!$AB$23)*(1-CUSTOS!$M$38)</f>
        <v>174.29557455563423</v>
      </c>
      <c r="AB353" s="4">
        <f>$K$353*$V$353</f>
        <v>0</v>
      </c>
      <c r="AC353" s="4">
        <f>$M$353*$W$353</f>
        <v>10797.387128000002</v>
      </c>
      <c r="AD353" s="4">
        <f>$O$353*$X$353</f>
        <v>7865.9909440000001</v>
      </c>
      <c r="AE353" s="4">
        <f>$K$353*$Y$353</f>
        <v>0</v>
      </c>
      <c r="AF353" s="4">
        <f ca="1">$M$353*$Z$353</f>
        <v>13724.333014039936</v>
      </c>
      <c r="AG353" s="4">
        <f>$O$353*$AA$353</f>
        <v>5815.2672677040036</v>
      </c>
    </row>
    <row r="354" spans="1:33" ht="11.25" customHeight="1" x14ac:dyDescent="0.25">
      <c r="A354" s="3" t="s">
        <v>21</v>
      </c>
      <c r="B354" s="3" t="s">
        <v>40</v>
      </c>
      <c r="C354" s="3" t="s">
        <v>23</v>
      </c>
      <c r="D354" s="3" t="s">
        <v>41</v>
      </c>
      <c r="E354" s="3" t="s">
        <v>50</v>
      </c>
      <c r="F354" s="3" t="s">
        <v>52</v>
      </c>
      <c r="G354" s="3" t="s">
        <v>25</v>
      </c>
      <c r="H354" s="3" t="s">
        <v>25</v>
      </c>
      <c r="I354" s="6">
        <v>44743</v>
      </c>
      <c r="J354" s="4">
        <v>0</v>
      </c>
      <c r="K354" s="4">
        <v>0</v>
      </c>
      <c r="L354" s="4">
        <v>91.402000000000001</v>
      </c>
      <c r="M354" s="4">
        <v>36.5608</v>
      </c>
      <c r="N354" s="4">
        <v>91.402000000000001</v>
      </c>
      <c r="O354" s="4">
        <v>36.5608</v>
      </c>
      <c r="P354" s="4">
        <v>0</v>
      </c>
      <c r="Q354" s="3" t="s">
        <v>26</v>
      </c>
      <c r="R354" s="3">
        <v>0</v>
      </c>
      <c r="S354" s="4">
        <v>0</v>
      </c>
      <c r="T354" s="4">
        <v>20</v>
      </c>
      <c r="U354" s="4">
        <v>52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323.62</v>
      </c>
      <c r="X354" s="4">
        <f>IF(ISERROR(VLOOKUP($U$354,'TAR FIN'!$A$1:$O$85,15,0)),0,VLOOKUP($U$354,'TAR FIN'!$A$1:$O$85,15,0))</f>
        <v>235.76</v>
      </c>
      <c r="Y354" s="4"/>
      <c r="Z354" s="4">
        <f ca="1">('TUSD BE'!$AM$33+'TUSD BF'!$AM$33+'TUSD CVA'!$AM$33)*(1-CUSTOS!$M$38)</f>
        <v>411.34661537566791</v>
      </c>
      <c r="AA354" s="4">
        <f>('TE BE'!$AB$23+'TE BF'!$AB$23+'TE CVA'!$AB$23)*(1-CUSTOS!$M$38)</f>
        <v>174.29557455563423</v>
      </c>
      <c r="AB354" s="4">
        <f>$K$354*$V$354</f>
        <v>0</v>
      </c>
      <c r="AC354" s="4">
        <f>$M$354*$W$354</f>
        <v>11831.806096</v>
      </c>
      <c r="AD354" s="4">
        <f>$O$354*$X$354</f>
        <v>8619.574208</v>
      </c>
      <c r="AE354" s="4">
        <f>$K$354*$Y$354</f>
        <v>0</v>
      </c>
      <c r="AF354" s="4">
        <f ca="1">$M$354*$Z$354</f>
        <v>15039.161335426719</v>
      </c>
      <c r="AG354" s="4">
        <f>$O$354*$AA$354</f>
        <v>6372.3856422136323</v>
      </c>
    </row>
    <row r="355" spans="1:33" ht="11.25" customHeight="1" x14ac:dyDescent="0.25">
      <c r="A355" s="3" t="s">
        <v>21</v>
      </c>
      <c r="B355" s="3" t="s">
        <v>40</v>
      </c>
      <c r="C355" s="3" t="s">
        <v>23</v>
      </c>
      <c r="D355" s="3" t="s">
        <v>41</v>
      </c>
      <c r="E355" s="3" t="s">
        <v>50</v>
      </c>
      <c r="F355" s="3" t="s">
        <v>52</v>
      </c>
      <c r="G355" s="3" t="s">
        <v>25</v>
      </c>
      <c r="H355" s="3" t="s">
        <v>25</v>
      </c>
      <c r="I355" s="6">
        <v>44774</v>
      </c>
      <c r="J355" s="4">
        <v>0</v>
      </c>
      <c r="K355" s="4">
        <v>0</v>
      </c>
      <c r="L355" s="4">
        <v>122.92100000000001</v>
      </c>
      <c r="M355" s="4">
        <v>49.168399999999998</v>
      </c>
      <c r="N355" s="4">
        <v>122.92100000000001</v>
      </c>
      <c r="O355" s="4">
        <v>49.168399999999998</v>
      </c>
      <c r="P355" s="4">
        <v>0</v>
      </c>
      <c r="Q355" s="3" t="s">
        <v>26</v>
      </c>
      <c r="R355" s="3">
        <v>0</v>
      </c>
      <c r="S355" s="4">
        <v>0</v>
      </c>
      <c r="T355" s="4">
        <v>20</v>
      </c>
      <c r="U355" s="4">
        <v>52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323.62</v>
      </c>
      <c r="X355" s="4">
        <f>IF(ISERROR(VLOOKUP($U$355,'TAR FIN'!$A$1:$O$85,15,0)),0,VLOOKUP($U$355,'TAR FIN'!$A$1:$O$85,15,0))</f>
        <v>235.76</v>
      </c>
      <c r="Y355" s="4"/>
      <c r="Z355" s="4">
        <f ca="1">('TUSD BE'!$AM$33+'TUSD BF'!$AM$33+'TUSD CVA'!$AM$33)*(1-CUSTOS!$M$38)</f>
        <v>411.34661537566791</v>
      </c>
      <c r="AA355" s="4">
        <f>('TE BE'!$AB$23+'TE BF'!$AB$23+'TE CVA'!$AB$23)*(1-CUSTOS!$M$38)</f>
        <v>174.29557455563423</v>
      </c>
      <c r="AB355" s="4">
        <f>$K$355*$V$355</f>
        <v>0</v>
      </c>
      <c r="AC355" s="4">
        <f>$M$355*$W$355</f>
        <v>15911.877607999999</v>
      </c>
      <c r="AD355" s="4">
        <f>$O$355*$X$355</f>
        <v>11591.941983999999</v>
      </c>
      <c r="AE355" s="4">
        <f>$K$355*$Y$355</f>
        <v>0</v>
      </c>
      <c r="AF355" s="4">
        <f ca="1">$M$355*$Z$355</f>
        <v>20225.254923436991</v>
      </c>
      <c r="AG355" s="4">
        <f>$O$355*$AA$355</f>
        <v>8569.8345279812456</v>
      </c>
    </row>
    <row r="356" spans="1:33" ht="11.25" customHeight="1" x14ac:dyDescent="0.25">
      <c r="A356" s="3" t="s">
        <v>21</v>
      </c>
      <c r="B356" s="3" t="s">
        <v>40</v>
      </c>
      <c r="C356" s="3" t="s">
        <v>23</v>
      </c>
      <c r="D356" s="3" t="s">
        <v>41</v>
      </c>
      <c r="E356" s="3" t="s">
        <v>53</v>
      </c>
      <c r="F356" s="3" t="s">
        <v>51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1.6659999999999999</v>
      </c>
      <c r="M356" s="4">
        <v>1.6659999999999999</v>
      </c>
      <c r="N356" s="4">
        <v>1.6659999999999999</v>
      </c>
      <c r="O356" s="4">
        <v>1.6659999999999999</v>
      </c>
      <c r="P356" s="4">
        <v>0</v>
      </c>
      <c r="Q356" s="3" t="s">
        <v>26</v>
      </c>
      <c r="R356" s="3">
        <v>0</v>
      </c>
      <c r="S356" s="4">
        <v>0</v>
      </c>
      <c r="T356" s="4">
        <v>20</v>
      </c>
      <c r="U356" s="4">
        <v>52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323.62</v>
      </c>
      <c r="X356" s="4">
        <f>IF(ISERROR(VLOOKUP($U$356,'TAR FIN'!$A$1:$O$85,15,0)),0,VLOOKUP($U$356,'TAR FIN'!$A$1:$O$85,15,0))</f>
        <v>235.76</v>
      </c>
      <c r="Y356" s="4"/>
      <c r="Z356" s="4">
        <f ca="1">('TUSD BE'!$AM$33+'TUSD BF'!$AM$33+'TUSD CVA'!$AM$33)*(1-CUSTOS!$M$38)</f>
        <v>411.34661537566791</v>
      </c>
      <c r="AA356" s="4">
        <f>('TE BE'!$AB$23+'TE BF'!$AB$23+'TE CVA'!$AB$23)*(1-CUSTOS!$M$38)</f>
        <v>174.29557455563423</v>
      </c>
      <c r="AB356" s="4">
        <f>$K$356*$V$356</f>
        <v>0</v>
      </c>
      <c r="AC356" s="4">
        <f>$M$356*$W$356</f>
        <v>539.15091999999993</v>
      </c>
      <c r="AD356" s="4">
        <f>$O$356*$X$356</f>
        <v>392.77615999999995</v>
      </c>
      <c r="AE356" s="4">
        <f>$K$356*$Y$356</f>
        <v>0</v>
      </c>
      <c r="AF356" s="4">
        <f ca="1">$M$356*$Z$356</f>
        <v>685.30346121586274</v>
      </c>
      <c r="AG356" s="4">
        <f>$O$356*$AA$356</f>
        <v>290.3764272096866</v>
      </c>
    </row>
    <row r="357" spans="1:33" ht="11.25" customHeight="1" x14ac:dyDescent="0.25">
      <c r="A357" s="3" t="s">
        <v>21</v>
      </c>
      <c r="B357" s="3" t="s">
        <v>40</v>
      </c>
      <c r="C357" s="3" t="s">
        <v>23</v>
      </c>
      <c r="D357" s="3" t="s">
        <v>41</v>
      </c>
      <c r="E357" s="3" t="s">
        <v>53</v>
      </c>
      <c r="F357" s="3" t="s">
        <v>51</v>
      </c>
      <c r="G357" s="3" t="s">
        <v>25</v>
      </c>
      <c r="H357" s="3" t="s">
        <v>25</v>
      </c>
      <c r="I357" s="6">
        <v>44743</v>
      </c>
      <c r="J357" s="4">
        <v>0</v>
      </c>
      <c r="K357" s="4">
        <v>0</v>
      </c>
      <c r="L357" s="4">
        <v>1.6279999999999999</v>
      </c>
      <c r="M357" s="4">
        <v>1.6279999999999999</v>
      </c>
      <c r="N357" s="4">
        <v>1.6279999999999999</v>
      </c>
      <c r="O357" s="4">
        <v>1.6279999999999999</v>
      </c>
      <c r="P357" s="4">
        <v>0</v>
      </c>
      <c r="Q357" s="3" t="s">
        <v>26</v>
      </c>
      <c r="R357" s="3">
        <v>0</v>
      </c>
      <c r="S357" s="4">
        <v>0</v>
      </c>
      <c r="T357" s="4">
        <v>20</v>
      </c>
      <c r="U357" s="4">
        <v>52</v>
      </c>
      <c r="V357" s="4">
        <f>IF(ISERROR(VLOOKUP($S$357,'TAR FIN'!$A$1:$O$85,15,0)),0,VLOOKUP($S$357,'TAR FIN'!$A$1:$O$85,15,0))</f>
        <v>0</v>
      </c>
      <c r="W357" s="4">
        <f>IF(ISERROR(VLOOKUP($T$357,'TAR FIN'!$A$1:$O$85,15,0)),0,VLOOKUP($T$357,'TAR FIN'!$A$1:$O$85,15,0))</f>
        <v>323.62</v>
      </c>
      <c r="X357" s="4">
        <f>IF(ISERROR(VLOOKUP($U$357,'TAR FIN'!$A$1:$O$85,15,0)),0,VLOOKUP($U$357,'TAR FIN'!$A$1:$O$85,15,0))</f>
        <v>235.76</v>
      </c>
      <c r="Y357" s="4"/>
      <c r="Z357" s="4">
        <f ca="1">('TUSD BE'!$AM$33+'TUSD BF'!$AM$33+'TUSD CVA'!$AM$33)*(1-CUSTOS!$M$38)</f>
        <v>411.34661537566791</v>
      </c>
      <c r="AA357" s="4">
        <f>('TE BE'!$AB$23+'TE BF'!$AB$23+'TE CVA'!$AB$23)*(1-CUSTOS!$M$38)</f>
        <v>174.29557455563423</v>
      </c>
      <c r="AB357" s="4">
        <f>$K$357*$V$357</f>
        <v>0</v>
      </c>
      <c r="AC357" s="4">
        <f>$M$357*$W$357</f>
        <v>526.85335999999995</v>
      </c>
      <c r="AD357" s="4">
        <f>$O$357*$X$357</f>
        <v>383.81727999999998</v>
      </c>
      <c r="AE357" s="4">
        <f>$K$357*$Y$357</f>
        <v>0</v>
      </c>
      <c r="AF357" s="4">
        <f ca="1">$M$357*$Z$357</f>
        <v>669.67228983158736</v>
      </c>
      <c r="AG357" s="4">
        <f>$O$357*$AA$357</f>
        <v>283.75319537657253</v>
      </c>
    </row>
    <row r="358" spans="1:33" ht="11.25" customHeight="1" x14ac:dyDescent="0.25">
      <c r="A358" s="3" t="s">
        <v>21</v>
      </c>
      <c r="B358" s="3" t="s">
        <v>40</v>
      </c>
      <c r="C358" s="3" t="s">
        <v>23</v>
      </c>
      <c r="D358" s="3" t="s">
        <v>41</v>
      </c>
      <c r="E358" s="3" t="s">
        <v>53</v>
      </c>
      <c r="F358" s="3" t="s">
        <v>51</v>
      </c>
      <c r="G358" s="3" t="s">
        <v>25</v>
      </c>
      <c r="H358" s="3" t="s">
        <v>25</v>
      </c>
      <c r="I358" s="6">
        <v>44774</v>
      </c>
      <c r="J358" s="4">
        <v>0</v>
      </c>
      <c r="K358" s="4">
        <v>0</v>
      </c>
      <c r="L358" s="4">
        <v>0.871</v>
      </c>
      <c r="M358" s="4">
        <v>0.871</v>
      </c>
      <c r="N358" s="4">
        <v>0.871</v>
      </c>
      <c r="O358" s="4">
        <v>0.871</v>
      </c>
      <c r="P358" s="4">
        <v>0</v>
      </c>
      <c r="Q358" s="3" t="s">
        <v>26</v>
      </c>
      <c r="R358" s="3">
        <v>0</v>
      </c>
      <c r="S358" s="4">
        <v>0</v>
      </c>
      <c r="T358" s="4">
        <v>20</v>
      </c>
      <c r="U358" s="4">
        <v>52</v>
      </c>
      <c r="V358" s="4">
        <f>IF(ISERROR(VLOOKUP($S$358,'TAR FIN'!$A$1:$O$85,15,0)),0,VLOOKUP($S$358,'TAR FIN'!$A$1:$O$85,15,0))</f>
        <v>0</v>
      </c>
      <c r="W358" s="4">
        <f>IF(ISERROR(VLOOKUP($T$358,'TAR FIN'!$A$1:$O$85,15,0)),0,VLOOKUP($T$358,'TAR FIN'!$A$1:$O$85,15,0))</f>
        <v>323.62</v>
      </c>
      <c r="X358" s="4">
        <f>IF(ISERROR(VLOOKUP($U$358,'TAR FIN'!$A$1:$O$85,15,0)),0,VLOOKUP($U$358,'TAR FIN'!$A$1:$O$85,15,0))</f>
        <v>235.76</v>
      </c>
      <c r="Y358" s="4"/>
      <c r="Z358" s="4">
        <f ca="1">('TUSD BE'!$AM$33+'TUSD BF'!$AM$33+'TUSD CVA'!$AM$33)*(1-CUSTOS!$M$38)</f>
        <v>411.34661537566791</v>
      </c>
      <c r="AA358" s="4">
        <f>('TE BE'!$AB$23+'TE BF'!$AB$23+'TE CVA'!$AB$23)*(1-CUSTOS!$M$38)</f>
        <v>174.29557455563423</v>
      </c>
      <c r="AB358" s="4">
        <f>$K$358*$V$358</f>
        <v>0</v>
      </c>
      <c r="AC358" s="4">
        <f>$M$358*$W$358</f>
        <v>281.87302</v>
      </c>
      <c r="AD358" s="4">
        <f>$O$358*$X$358</f>
        <v>205.34696</v>
      </c>
      <c r="AE358" s="4">
        <f>$K$358*$Y$358</f>
        <v>0</v>
      </c>
      <c r="AF358" s="4">
        <f ca="1">$M$358*$Z$358</f>
        <v>358.28290199220675</v>
      </c>
      <c r="AG358" s="4">
        <f>$O$358*$AA$358</f>
        <v>151.81144543795742</v>
      </c>
    </row>
    <row r="359" spans="1:33" ht="11.25" customHeight="1" x14ac:dyDescent="0.25">
      <c r="A359" s="3" t="s">
        <v>21</v>
      </c>
      <c r="B359" s="3" t="s">
        <v>40</v>
      </c>
      <c r="C359" s="3" t="s">
        <v>23</v>
      </c>
      <c r="D359" s="3" t="s">
        <v>41</v>
      </c>
      <c r="E359" s="3" t="s">
        <v>53</v>
      </c>
      <c r="F359" s="3" t="s">
        <v>52</v>
      </c>
      <c r="G359" s="3" t="s">
        <v>25</v>
      </c>
      <c r="H359" s="3" t="s">
        <v>25</v>
      </c>
      <c r="I359" s="6">
        <v>44743</v>
      </c>
      <c r="J359" s="4">
        <v>0</v>
      </c>
      <c r="K359" s="4">
        <v>0</v>
      </c>
      <c r="L359" s="4">
        <v>1.3620000000000001</v>
      </c>
      <c r="M359" s="4">
        <v>0.54479999999999995</v>
      </c>
      <c r="N359" s="4">
        <v>1.3620000000000001</v>
      </c>
      <c r="O359" s="4">
        <v>0.54479999999999995</v>
      </c>
      <c r="P359" s="4">
        <v>0</v>
      </c>
      <c r="Q359" s="3" t="s">
        <v>26</v>
      </c>
      <c r="R359" s="3">
        <v>0</v>
      </c>
      <c r="S359" s="4">
        <v>0</v>
      </c>
      <c r="T359" s="4">
        <v>20</v>
      </c>
      <c r="U359" s="4">
        <v>52</v>
      </c>
      <c r="V359" s="4">
        <f>IF(ISERROR(VLOOKUP($S$359,'TAR FIN'!$A$1:$O$85,15,0)),0,VLOOKUP($S$359,'TAR FIN'!$A$1:$O$85,15,0))</f>
        <v>0</v>
      </c>
      <c r="W359" s="4">
        <f>IF(ISERROR(VLOOKUP($T$359,'TAR FIN'!$A$1:$O$85,15,0)),0,VLOOKUP($T$359,'TAR FIN'!$A$1:$O$85,15,0))</f>
        <v>323.62</v>
      </c>
      <c r="X359" s="4">
        <f>IF(ISERROR(VLOOKUP($U$359,'TAR FIN'!$A$1:$O$85,15,0)),0,VLOOKUP($U$359,'TAR FIN'!$A$1:$O$85,15,0))</f>
        <v>235.76</v>
      </c>
      <c r="Y359" s="4"/>
      <c r="Z359" s="4">
        <f ca="1">('TUSD BE'!$AM$33+'TUSD BF'!$AM$33+'TUSD CVA'!$AM$33)*(1-CUSTOS!$M$38)</f>
        <v>411.34661537566791</v>
      </c>
      <c r="AA359" s="4">
        <f>('TE BE'!$AB$23+'TE BF'!$AB$23+'TE CVA'!$AB$23)*(1-CUSTOS!$M$38)</f>
        <v>174.29557455563423</v>
      </c>
      <c r="AB359" s="4">
        <f>$K$359*$V$359</f>
        <v>0</v>
      </c>
      <c r="AC359" s="4">
        <f>$M$359*$W$359</f>
        <v>176.30817599999997</v>
      </c>
      <c r="AD359" s="4">
        <f>$O$359*$X$359</f>
        <v>128.44204799999997</v>
      </c>
      <c r="AE359" s="4">
        <f>$K$359*$Y$359</f>
        <v>0</v>
      </c>
      <c r="AF359" s="4">
        <f ca="1">$M$359*$Z$359</f>
        <v>224.10163605666386</v>
      </c>
      <c r="AG359" s="4">
        <f>$O$359*$AA$359</f>
        <v>94.956229017909521</v>
      </c>
    </row>
    <row r="360" spans="1:33" ht="11.25" customHeight="1" x14ac:dyDescent="0.25">
      <c r="A360" s="3" t="s">
        <v>21</v>
      </c>
      <c r="B360" s="3" t="s">
        <v>40</v>
      </c>
      <c r="C360" s="3" t="s">
        <v>23</v>
      </c>
      <c r="D360" s="3" t="s">
        <v>41</v>
      </c>
      <c r="E360" s="3" t="s">
        <v>53</v>
      </c>
      <c r="F360" s="3" t="s">
        <v>52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0.73199999999999998</v>
      </c>
      <c r="M360" s="4">
        <v>0.2928</v>
      </c>
      <c r="N360" s="4">
        <v>0.73199999999999998</v>
      </c>
      <c r="O360" s="4">
        <v>0.2928</v>
      </c>
      <c r="P360" s="4">
        <v>0</v>
      </c>
      <c r="Q360" s="3" t="s">
        <v>26</v>
      </c>
      <c r="R360" s="3">
        <v>0</v>
      </c>
      <c r="S360" s="4">
        <v>0</v>
      </c>
      <c r="T360" s="4">
        <v>20</v>
      </c>
      <c r="U360" s="4">
        <v>52</v>
      </c>
      <c r="V360" s="4">
        <f>IF(ISERROR(VLOOKUP($S$360,'TAR FIN'!$A$1:$O$85,15,0)),0,VLOOKUP($S$360,'TAR FIN'!$A$1:$O$85,15,0))</f>
        <v>0</v>
      </c>
      <c r="W360" s="4">
        <f>IF(ISERROR(VLOOKUP($T$360,'TAR FIN'!$A$1:$O$85,15,0)),0,VLOOKUP($T$360,'TAR FIN'!$A$1:$O$85,15,0))</f>
        <v>323.62</v>
      </c>
      <c r="X360" s="4">
        <f>IF(ISERROR(VLOOKUP($U$360,'TAR FIN'!$A$1:$O$85,15,0)),0,VLOOKUP($U$360,'TAR FIN'!$A$1:$O$85,15,0))</f>
        <v>235.76</v>
      </c>
      <c r="Y360" s="4"/>
      <c r="Z360" s="4">
        <f ca="1">('TUSD BE'!$AM$33+'TUSD BF'!$AM$33+'TUSD CVA'!$AM$33)*(1-CUSTOS!$M$38)</f>
        <v>411.34661537566791</v>
      </c>
      <c r="AA360" s="4">
        <f>('TE BE'!$AB$23+'TE BF'!$AB$23+'TE CVA'!$AB$23)*(1-CUSTOS!$M$38)</f>
        <v>174.29557455563423</v>
      </c>
      <c r="AB360" s="4">
        <f>$K$360*$V$360</f>
        <v>0</v>
      </c>
      <c r="AC360" s="4">
        <f>$M$360*$W$360</f>
        <v>94.755936000000005</v>
      </c>
      <c r="AD360" s="4">
        <f>$O$360*$X$360</f>
        <v>69.030528000000004</v>
      </c>
      <c r="AE360" s="4">
        <f>$K$360*$Y$360</f>
        <v>0</v>
      </c>
      <c r="AF360" s="4">
        <f ca="1">$M$360*$Z$360</f>
        <v>120.44228898199556</v>
      </c>
      <c r="AG360" s="4">
        <f>$O$360*$AA$360</f>
        <v>51.033744229889706</v>
      </c>
    </row>
    <row r="361" spans="1:33" ht="11.25" customHeight="1" x14ac:dyDescent="0.25">
      <c r="A361" s="3" t="s">
        <v>21</v>
      </c>
      <c r="B361" s="3" t="s">
        <v>40</v>
      </c>
      <c r="C361" s="3" t="s">
        <v>23</v>
      </c>
      <c r="D361" s="3" t="s">
        <v>41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44440</v>
      </c>
      <c r="J361" s="4">
        <v>0</v>
      </c>
      <c r="K361" s="4">
        <v>0</v>
      </c>
      <c r="L361" s="4">
        <v>393.584</v>
      </c>
      <c r="M361" s="4">
        <v>393.584</v>
      </c>
      <c r="N361" s="4">
        <v>393.584</v>
      </c>
      <c r="O361" s="4">
        <v>393.584</v>
      </c>
      <c r="P361" s="4">
        <v>412</v>
      </c>
      <c r="Q361" s="3" t="s">
        <v>26</v>
      </c>
      <c r="R361" s="3">
        <v>0</v>
      </c>
      <c r="S361" s="4">
        <v>0</v>
      </c>
      <c r="T361" s="4">
        <v>20</v>
      </c>
      <c r="U361" s="4">
        <v>52</v>
      </c>
      <c r="V361" s="4">
        <f>IF(ISERROR(VLOOKUP($S$361,'TAR FIN'!$A$1:$O$85,15,0)),0,VLOOKUP($S$361,'TAR FIN'!$A$1:$O$85,15,0))</f>
        <v>0</v>
      </c>
      <c r="W361" s="4">
        <f>IF(ISERROR(VLOOKUP($T$361,'TAR FIN'!$A$1:$O$85,15,0)),0,VLOOKUP($T$361,'TAR FIN'!$A$1:$O$85,15,0))</f>
        <v>323.62</v>
      </c>
      <c r="X361" s="4">
        <f>IF(ISERROR(VLOOKUP($U$361,'TAR FIN'!$A$1:$O$85,15,0)),0,VLOOKUP($U$361,'TAR FIN'!$A$1:$O$85,15,0))</f>
        <v>235.76</v>
      </c>
      <c r="Y361" s="4"/>
      <c r="Z361" s="4">
        <f ca="1">('TUSD BE'!$AM$33+'TUSD BF'!$AM$33+'TUSD CVA'!$AM$33)*(1-CUSTOS!$M$38)</f>
        <v>411.34661537566791</v>
      </c>
      <c r="AA361" s="4">
        <f>('TE BE'!$AB$23+'TE BF'!$AB$23+'TE CVA'!$AB$23)*(1-CUSTOS!$M$38)</f>
        <v>174.29557455563423</v>
      </c>
      <c r="AB361" s="4">
        <f>$K$361*$V$361</f>
        <v>0</v>
      </c>
      <c r="AC361" s="4">
        <f>$M$361*$W$361</f>
        <v>127371.65408000001</v>
      </c>
      <c r="AD361" s="4">
        <f>$O$361*$X$361</f>
        <v>92791.363839999991</v>
      </c>
      <c r="AE361" s="4">
        <f>$K$361*$Y$361</f>
        <v>0</v>
      </c>
      <c r="AF361" s="4">
        <f ca="1">$M$361*$Z$361</f>
        <v>161899.44626601689</v>
      </c>
      <c r="AG361" s="4">
        <f>$O$361*$AA$361</f>
        <v>68599.949415904746</v>
      </c>
    </row>
    <row r="362" spans="1:33" ht="11.25" customHeight="1" x14ac:dyDescent="0.25">
      <c r="A362" s="3" t="s">
        <v>28</v>
      </c>
      <c r="B362" s="3" t="s">
        <v>40</v>
      </c>
      <c r="C362" s="3" t="s">
        <v>23</v>
      </c>
      <c r="D362" s="3" t="s">
        <v>41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44440</v>
      </c>
      <c r="J362" s="4">
        <v>0</v>
      </c>
      <c r="K362" s="4">
        <v>0</v>
      </c>
      <c r="L362" s="4">
        <v>6.82</v>
      </c>
      <c r="M362" s="4">
        <v>6.82</v>
      </c>
      <c r="N362" s="4">
        <v>6.82</v>
      </c>
      <c r="O362" s="4">
        <v>6.82</v>
      </c>
      <c r="P362" s="4">
        <v>2</v>
      </c>
      <c r="Q362" s="3" t="s">
        <v>26</v>
      </c>
      <c r="R362" s="3">
        <v>0</v>
      </c>
      <c r="S362" s="4">
        <v>0</v>
      </c>
      <c r="T362" s="4">
        <v>20</v>
      </c>
      <c r="U362" s="4">
        <v>52</v>
      </c>
      <c r="V362" s="4">
        <f>IF(ISERROR(VLOOKUP($S$362,'TAR FIN'!$A$1:$O$85,15,0)),0,VLOOKUP($S$362,'TAR FIN'!$A$1:$O$85,15,0))</f>
        <v>0</v>
      </c>
      <c r="W362" s="4">
        <f>IF(ISERROR(VLOOKUP($T$362,'TAR FIN'!$A$1:$O$85,15,0)),0,VLOOKUP($T$362,'TAR FIN'!$A$1:$O$85,15,0))</f>
        <v>323.62</v>
      </c>
      <c r="X362" s="4">
        <f>IF(ISERROR(VLOOKUP($U$362,'TAR FIN'!$A$1:$O$85,15,0)),0,VLOOKUP($U$362,'TAR FIN'!$A$1:$O$85,15,0))</f>
        <v>235.76</v>
      </c>
      <c r="Y362" s="4"/>
      <c r="Z362" s="4">
        <f ca="1">('TUSD BE'!$AM$33+'TUSD BF'!$AM$33+'TUSD CVA'!$AM$33)*(1-CUSTOS!$M$38)</f>
        <v>411.34661537566791</v>
      </c>
      <c r="AA362" s="4">
        <f>('TE BE'!$AB$23+'TE BF'!$AB$23+'TE CVA'!$AB$23)*(1-CUSTOS!$M$38)</f>
        <v>174.29557455563423</v>
      </c>
      <c r="AB362" s="4">
        <f>$K$362*$V$362</f>
        <v>0</v>
      </c>
      <c r="AC362" s="4">
        <f>$M$362*$W$362</f>
        <v>2207.0884000000001</v>
      </c>
      <c r="AD362" s="4">
        <f>$O$362*$X$362</f>
        <v>1607.8832</v>
      </c>
      <c r="AE362" s="4">
        <f>$K$362*$Y$362</f>
        <v>0</v>
      </c>
      <c r="AF362" s="4">
        <f ca="1">$M$362*$Z$362</f>
        <v>2805.3839168620552</v>
      </c>
      <c r="AG362" s="4">
        <f>$O$362*$AA$362</f>
        <v>1188.6958184694256</v>
      </c>
    </row>
    <row r="363" spans="1:33" ht="11.25" customHeight="1" x14ac:dyDescent="0.25">
      <c r="A363" s="3" t="s">
        <v>21</v>
      </c>
      <c r="B363" s="3" t="s">
        <v>40</v>
      </c>
      <c r="C363" s="3" t="s">
        <v>23</v>
      </c>
      <c r="D363" s="3" t="s">
        <v>41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44470</v>
      </c>
      <c r="J363" s="4">
        <v>0</v>
      </c>
      <c r="K363" s="4">
        <v>0</v>
      </c>
      <c r="L363" s="4">
        <v>397.71499999999997</v>
      </c>
      <c r="M363" s="4">
        <v>397.71499999999997</v>
      </c>
      <c r="N363" s="4">
        <v>397.71499999999997</v>
      </c>
      <c r="O363" s="4">
        <v>397.71499999999997</v>
      </c>
      <c r="P363" s="4">
        <v>409</v>
      </c>
      <c r="Q363" s="3" t="s">
        <v>26</v>
      </c>
      <c r="R363" s="3">
        <v>0</v>
      </c>
      <c r="S363" s="4">
        <v>0</v>
      </c>
      <c r="T363" s="4">
        <v>20</v>
      </c>
      <c r="U363" s="4">
        <v>52</v>
      </c>
      <c r="V363" s="4">
        <f>IF(ISERROR(VLOOKUP($S$363,'TAR FIN'!$A$1:$O$85,15,0)),0,VLOOKUP($S$363,'TAR FIN'!$A$1:$O$85,15,0))</f>
        <v>0</v>
      </c>
      <c r="W363" s="4">
        <f>IF(ISERROR(VLOOKUP($T$363,'TAR FIN'!$A$1:$O$85,15,0)),0,VLOOKUP($T$363,'TAR FIN'!$A$1:$O$85,15,0))</f>
        <v>323.62</v>
      </c>
      <c r="X363" s="4">
        <f>IF(ISERROR(VLOOKUP($U$363,'TAR FIN'!$A$1:$O$85,15,0)),0,VLOOKUP($U$363,'TAR FIN'!$A$1:$O$85,15,0))</f>
        <v>235.76</v>
      </c>
      <c r="Y363" s="4"/>
      <c r="Z363" s="4">
        <f ca="1">('TUSD BE'!$AM$33+'TUSD BF'!$AM$33+'TUSD CVA'!$AM$33)*(1-CUSTOS!$M$38)</f>
        <v>411.34661537566791</v>
      </c>
      <c r="AA363" s="4">
        <f>('TE BE'!$AB$23+'TE BF'!$AB$23+'TE CVA'!$AB$23)*(1-CUSTOS!$M$38)</f>
        <v>174.29557455563423</v>
      </c>
      <c r="AB363" s="4">
        <f>$K$363*$V$363</f>
        <v>0</v>
      </c>
      <c r="AC363" s="4">
        <f>$M$363*$W$363</f>
        <v>128708.52829999999</v>
      </c>
      <c r="AD363" s="4">
        <f>$O$363*$X$363</f>
        <v>93765.28839999999</v>
      </c>
      <c r="AE363" s="4">
        <f>$K$363*$Y$363</f>
        <v>0</v>
      </c>
      <c r="AF363" s="4">
        <f ca="1">$M$363*$Z$363</f>
        <v>163598.71913413375</v>
      </c>
      <c r="AG363" s="4">
        <f>$O$363*$AA$363</f>
        <v>69319.96443439406</v>
      </c>
    </row>
    <row r="364" spans="1:33" ht="11.25" customHeight="1" x14ac:dyDescent="0.25">
      <c r="A364" s="3" t="s">
        <v>28</v>
      </c>
      <c r="B364" s="3" t="s">
        <v>40</v>
      </c>
      <c r="C364" s="3" t="s">
        <v>23</v>
      </c>
      <c r="D364" s="3" t="s">
        <v>41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44470</v>
      </c>
      <c r="J364" s="4">
        <v>0</v>
      </c>
      <c r="K364" s="4">
        <v>0</v>
      </c>
      <c r="L364" s="4">
        <v>6.7629999999999999</v>
      </c>
      <c r="M364" s="4">
        <v>6.7629999999999999</v>
      </c>
      <c r="N364" s="4">
        <v>6.7629999999999999</v>
      </c>
      <c r="O364" s="4">
        <v>6.7629999999999999</v>
      </c>
      <c r="P364" s="4">
        <v>3</v>
      </c>
      <c r="Q364" s="3" t="s">
        <v>26</v>
      </c>
      <c r="R364" s="3">
        <v>0</v>
      </c>
      <c r="S364" s="4">
        <v>0</v>
      </c>
      <c r="T364" s="4">
        <v>20</v>
      </c>
      <c r="U364" s="4">
        <v>52</v>
      </c>
      <c r="V364" s="4">
        <f>IF(ISERROR(VLOOKUP($S$364,'TAR FIN'!$A$1:$O$85,15,0)),0,VLOOKUP($S$364,'TAR FIN'!$A$1:$O$85,15,0))</f>
        <v>0</v>
      </c>
      <c r="W364" s="4">
        <f>IF(ISERROR(VLOOKUP($T$364,'TAR FIN'!$A$1:$O$85,15,0)),0,VLOOKUP($T$364,'TAR FIN'!$A$1:$O$85,15,0))</f>
        <v>323.62</v>
      </c>
      <c r="X364" s="4">
        <f>IF(ISERROR(VLOOKUP($U$364,'TAR FIN'!$A$1:$O$85,15,0)),0,VLOOKUP($U$364,'TAR FIN'!$A$1:$O$85,15,0))</f>
        <v>235.76</v>
      </c>
      <c r="Y364" s="4"/>
      <c r="Z364" s="4">
        <f ca="1">('TUSD BE'!$AM$33+'TUSD BF'!$AM$33+'TUSD CVA'!$AM$33)*(1-CUSTOS!$M$38)</f>
        <v>411.34661537566791</v>
      </c>
      <c r="AA364" s="4">
        <f>('TE BE'!$AB$23+'TE BF'!$AB$23+'TE CVA'!$AB$23)*(1-CUSTOS!$M$38)</f>
        <v>174.29557455563423</v>
      </c>
      <c r="AB364" s="4">
        <f>$K$364*$V$364</f>
        <v>0</v>
      </c>
      <c r="AC364" s="4">
        <f>$M$364*$W$364</f>
        <v>2188.6420600000001</v>
      </c>
      <c r="AD364" s="4">
        <f>$O$364*$X$364</f>
        <v>1594.44488</v>
      </c>
      <c r="AE364" s="4">
        <f>$K$364*$Y$364</f>
        <v>0</v>
      </c>
      <c r="AF364" s="4">
        <f ca="1">$M$364*$Z$364</f>
        <v>2781.9371597856421</v>
      </c>
      <c r="AG364" s="4">
        <f>$O$364*$AA$364</f>
        <v>1178.7609707197544</v>
      </c>
    </row>
    <row r="365" spans="1:33" ht="11.25" customHeight="1" x14ac:dyDescent="0.25">
      <c r="A365" s="3" t="s">
        <v>21</v>
      </c>
      <c r="B365" s="3" t="s">
        <v>40</v>
      </c>
      <c r="C365" s="3" t="s">
        <v>23</v>
      </c>
      <c r="D365" s="3" t="s">
        <v>41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44501</v>
      </c>
      <c r="J365" s="4">
        <v>0</v>
      </c>
      <c r="K365" s="4">
        <v>0</v>
      </c>
      <c r="L365" s="4">
        <v>299.173</v>
      </c>
      <c r="M365" s="4">
        <v>299.173</v>
      </c>
      <c r="N365" s="4">
        <v>299.173</v>
      </c>
      <c r="O365" s="4">
        <v>299.173</v>
      </c>
      <c r="P365" s="4">
        <v>407</v>
      </c>
      <c r="Q365" s="3" t="s">
        <v>26</v>
      </c>
      <c r="R365" s="3">
        <v>0</v>
      </c>
      <c r="S365" s="4">
        <v>0</v>
      </c>
      <c r="T365" s="4">
        <v>20</v>
      </c>
      <c r="U365" s="4">
        <v>52</v>
      </c>
      <c r="V365" s="4">
        <f>IF(ISERROR(VLOOKUP($S$365,'TAR FIN'!$A$1:$O$85,15,0)),0,VLOOKUP($S$365,'TAR FIN'!$A$1:$O$85,15,0))</f>
        <v>0</v>
      </c>
      <c r="W365" s="4">
        <f>IF(ISERROR(VLOOKUP($T$365,'TAR FIN'!$A$1:$O$85,15,0)),0,VLOOKUP($T$365,'TAR FIN'!$A$1:$O$85,15,0))</f>
        <v>323.62</v>
      </c>
      <c r="X365" s="4">
        <f>IF(ISERROR(VLOOKUP($U$365,'TAR FIN'!$A$1:$O$85,15,0)),0,VLOOKUP($U$365,'TAR FIN'!$A$1:$O$85,15,0))</f>
        <v>235.76</v>
      </c>
      <c r="Y365" s="4"/>
      <c r="Z365" s="4">
        <f ca="1">('TUSD BE'!$AM$33+'TUSD BF'!$AM$33+'TUSD CVA'!$AM$33)*(1-CUSTOS!$M$38)</f>
        <v>411.34661537566791</v>
      </c>
      <c r="AA365" s="4">
        <f>('TE BE'!$AB$23+'TE BF'!$AB$23+'TE CVA'!$AB$23)*(1-CUSTOS!$M$38)</f>
        <v>174.29557455563423</v>
      </c>
      <c r="AB365" s="4">
        <f>$K$365*$V$365</f>
        <v>0</v>
      </c>
      <c r="AC365" s="4">
        <f>$M$365*$W$365</f>
        <v>96818.366259999995</v>
      </c>
      <c r="AD365" s="4">
        <f>$O$365*$X$365</f>
        <v>70533.02648</v>
      </c>
      <c r="AE365" s="4">
        <f>$K$365*$Y$365</f>
        <v>0</v>
      </c>
      <c r="AF365" s="4">
        <f ca="1">$M$365*$Z$365</f>
        <v>123063.8009617847</v>
      </c>
      <c r="AG365" s="4">
        <f>$O$365*$AA$365</f>
        <v>52144.529926532763</v>
      </c>
    </row>
    <row r="366" spans="1:33" ht="11.25" customHeight="1" x14ac:dyDescent="0.25">
      <c r="A366" s="3" t="s">
        <v>27</v>
      </c>
      <c r="B366" s="3" t="s">
        <v>40</v>
      </c>
      <c r="C366" s="3" t="s">
        <v>23</v>
      </c>
      <c r="D366" s="3" t="s">
        <v>41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44501</v>
      </c>
      <c r="J366" s="4">
        <v>0</v>
      </c>
      <c r="K366" s="4">
        <v>0</v>
      </c>
      <c r="L366" s="4">
        <v>-3.1520000000000001</v>
      </c>
      <c r="M366" s="4">
        <v>-3.1520000000000001</v>
      </c>
      <c r="N366" s="4">
        <v>-3.1520000000000001</v>
      </c>
      <c r="O366" s="4">
        <v>-3.1520000000000001</v>
      </c>
      <c r="P366" s="4">
        <v>0</v>
      </c>
      <c r="Q366" s="3" t="s">
        <v>26</v>
      </c>
      <c r="R366" s="3">
        <v>0</v>
      </c>
      <c r="S366" s="4">
        <v>0</v>
      </c>
      <c r="T366" s="4">
        <v>20</v>
      </c>
      <c r="U366" s="4">
        <v>52</v>
      </c>
      <c r="V366" s="4">
        <f>IF(ISERROR(VLOOKUP($S$366,'TAR FIN'!$A$1:$O$85,15,0)),0,VLOOKUP($S$366,'TAR FIN'!$A$1:$O$85,15,0))</f>
        <v>0</v>
      </c>
      <c r="W366" s="4">
        <f>IF(ISERROR(VLOOKUP($T$366,'TAR FIN'!$A$1:$O$85,15,0)),0,VLOOKUP($T$366,'TAR FIN'!$A$1:$O$85,15,0))</f>
        <v>323.62</v>
      </c>
      <c r="X366" s="4">
        <f>IF(ISERROR(VLOOKUP($U$366,'TAR FIN'!$A$1:$O$85,15,0)),0,VLOOKUP($U$366,'TAR FIN'!$A$1:$O$85,15,0))</f>
        <v>235.76</v>
      </c>
      <c r="Y366" s="4"/>
      <c r="Z366" s="4">
        <f ca="1">('TUSD BE'!$AM$33+'TUSD BF'!$AM$33+'TUSD CVA'!$AM$33)*(1-CUSTOS!$M$38)</f>
        <v>411.34661537566791</v>
      </c>
      <c r="AA366" s="4">
        <f>('TE BE'!$AB$23+'TE BF'!$AB$23+'TE CVA'!$AB$23)*(1-CUSTOS!$M$38)</f>
        <v>174.29557455563423</v>
      </c>
      <c r="AB366" s="4">
        <f>$K$366*$V$366</f>
        <v>0</v>
      </c>
      <c r="AC366" s="4">
        <f>$M$366*$W$366</f>
        <v>-1020.05024</v>
      </c>
      <c r="AD366" s="4">
        <f>$O$366*$X$366</f>
        <v>-743.11551999999995</v>
      </c>
      <c r="AE366" s="4">
        <f>$K$366*$Y$366</f>
        <v>0</v>
      </c>
      <c r="AF366" s="4">
        <f ca="1">$M$366*$Z$366</f>
        <v>-1296.5645316641053</v>
      </c>
      <c r="AG366" s="4">
        <f>$O$366*$AA$366</f>
        <v>-549.37965099935911</v>
      </c>
    </row>
    <row r="367" spans="1:33" ht="11.25" customHeight="1" x14ac:dyDescent="0.25">
      <c r="A367" s="3" t="s">
        <v>28</v>
      </c>
      <c r="B367" s="3" t="s">
        <v>40</v>
      </c>
      <c r="C367" s="3" t="s">
        <v>23</v>
      </c>
      <c r="D367" s="3" t="s">
        <v>41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44501</v>
      </c>
      <c r="J367" s="4">
        <v>0</v>
      </c>
      <c r="K367" s="4">
        <v>0</v>
      </c>
      <c r="L367" s="4">
        <v>5.84</v>
      </c>
      <c r="M367" s="4">
        <v>5.84</v>
      </c>
      <c r="N367" s="4">
        <v>5.84</v>
      </c>
      <c r="O367" s="4">
        <v>5.84</v>
      </c>
      <c r="P367" s="4">
        <v>3</v>
      </c>
      <c r="Q367" s="3" t="s">
        <v>26</v>
      </c>
      <c r="R367" s="3">
        <v>0</v>
      </c>
      <c r="S367" s="4">
        <v>0</v>
      </c>
      <c r="T367" s="4">
        <v>20</v>
      </c>
      <c r="U367" s="4">
        <v>52</v>
      </c>
      <c r="V367" s="4">
        <f>IF(ISERROR(VLOOKUP($S$367,'TAR FIN'!$A$1:$O$85,15,0)),0,VLOOKUP($S$367,'TAR FIN'!$A$1:$O$85,15,0))</f>
        <v>0</v>
      </c>
      <c r="W367" s="4">
        <f>IF(ISERROR(VLOOKUP($T$367,'TAR FIN'!$A$1:$O$85,15,0)),0,VLOOKUP($T$367,'TAR FIN'!$A$1:$O$85,15,0))</f>
        <v>323.62</v>
      </c>
      <c r="X367" s="4">
        <f>IF(ISERROR(VLOOKUP($U$367,'TAR FIN'!$A$1:$O$85,15,0)),0,VLOOKUP($U$367,'TAR FIN'!$A$1:$O$85,15,0))</f>
        <v>235.76</v>
      </c>
      <c r="Y367" s="4"/>
      <c r="Z367" s="4">
        <f ca="1">('TUSD BE'!$AM$33+'TUSD BF'!$AM$33+'TUSD CVA'!$AM$33)*(1-CUSTOS!$M$38)</f>
        <v>411.34661537566791</v>
      </c>
      <c r="AA367" s="4">
        <f>('TE BE'!$AB$23+'TE BF'!$AB$23+'TE CVA'!$AB$23)*(1-CUSTOS!$M$38)</f>
        <v>174.29557455563423</v>
      </c>
      <c r="AB367" s="4">
        <f>$K$367*$V$367</f>
        <v>0</v>
      </c>
      <c r="AC367" s="4">
        <f>$M$367*$W$367</f>
        <v>1889.9408000000001</v>
      </c>
      <c r="AD367" s="4">
        <f>$O$367*$X$367</f>
        <v>1376.8383999999999</v>
      </c>
      <c r="AE367" s="4">
        <f>$K$367*$Y$367</f>
        <v>0</v>
      </c>
      <c r="AF367" s="4">
        <f ca="1">$M$367*$Z$367</f>
        <v>2402.2642337939005</v>
      </c>
      <c r="AG367" s="4">
        <f>$O$367*$AA$367</f>
        <v>1017.8861554049039</v>
      </c>
    </row>
    <row r="368" spans="1:33" ht="11.25" customHeight="1" x14ac:dyDescent="0.25">
      <c r="A368" s="3" t="s">
        <v>21</v>
      </c>
      <c r="B368" s="3" t="s">
        <v>40</v>
      </c>
      <c r="C368" s="3" t="s">
        <v>23</v>
      </c>
      <c r="D368" s="3" t="s">
        <v>41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44531</v>
      </c>
      <c r="J368" s="4">
        <v>0</v>
      </c>
      <c r="K368" s="4">
        <v>0</v>
      </c>
      <c r="L368" s="4">
        <v>284.95699999999999</v>
      </c>
      <c r="M368" s="4">
        <v>284.95699999999999</v>
      </c>
      <c r="N368" s="4">
        <v>284.95699999999999</v>
      </c>
      <c r="O368" s="4">
        <v>284.95699999999999</v>
      </c>
      <c r="P368" s="4">
        <v>405</v>
      </c>
      <c r="Q368" s="3" t="s">
        <v>26</v>
      </c>
      <c r="R368" s="3">
        <v>0</v>
      </c>
      <c r="S368" s="4">
        <v>0</v>
      </c>
      <c r="T368" s="4">
        <v>20</v>
      </c>
      <c r="U368" s="4">
        <v>52</v>
      </c>
      <c r="V368" s="4">
        <f>IF(ISERROR(VLOOKUP($S$368,'TAR FIN'!$A$1:$O$85,15,0)),0,VLOOKUP($S$368,'TAR FIN'!$A$1:$O$85,15,0))</f>
        <v>0</v>
      </c>
      <c r="W368" s="4">
        <f>IF(ISERROR(VLOOKUP($T$368,'TAR FIN'!$A$1:$O$85,15,0)),0,VLOOKUP($T$368,'TAR FIN'!$A$1:$O$85,15,0))</f>
        <v>323.62</v>
      </c>
      <c r="X368" s="4">
        <f>IF(ISERROR(VLOOKUP($U$368,'TAR FIN'!$A$1:$O$85,15,0)),0,VLOOKUP($U$368,'TAR FIN'!$A$1:$O$85,15,0))</f>
        <v>235.76</v>
      </c>
      <c r="Y368" s="4"/>
      <c r="Z368" s="4">
        <f ca="1">('TUSD BE'!$AM$33+'TUSD BF'!$AM$33+'TUSD CVA'!$AM$33)*(1-CUSTOS!$M$38)</f>
        <v>411.34661537566791</v>
      </c>
      <c r="AA368" s="4">
        <f>('TE BE'!$AB$23+'TE BF'!$AB$23+'TE CVA'!$AB$23)*(1-CUSTOS!$M$38)</f>
        <v>174.29557455563423</v>
      </c>
      <c r="AB368" s="4">
        <f>$K$368*$V$368</f>
        <v>0</v>
      </c>
      <c r="AC368" s="4">
        <f>$M$368*$W$368</f>
        <v>92217.784339999998</v>
      </c>
      <c r="AD368" s="4">
        <f>$O$368*$X$368</f>
        <v>67181.462319999991</v>
      </c>
      <c r="AE368" s="4">
        <f>$K$368*$Y$368</f>
        <v>0</v>
      </c>
      <c r="AF368" s="4">
        <f ca="1">$M$368*$Z$368</f>
        <v>117216.0974776042</v>
      </c>
      <c r="AG368" s="4">
        <f>$O$368*$AA$368</f>
        <v>49666.744038649864</v>
      </c>
    </row>
    <row r="369" spans="1:33" ht="11.25" customHeight="1" x14ac:dyDescent="0.25">
      <c r="A369" s="3" t="s">
        <v>27</v>
      </c>
      <c r="B369" s="3" t="s">
        <v>40</v>
      </c>
      <c r="C369" s="3" t="s">
        <v>23</v>
      </c>
      <c r="D369" s="3" t="s">
        <v>41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44531</v>
      </c>
      <c r="J369" s="4">
        <v>0</v>
      </c>
      <c r="K369" s="4">
        <v>0</v>
      </c>
      <c r="L369" s="4">
        <v>-0.1</v>
      </c>
      <c r="M369" s="4">
        <v>-0.1</v>
      </c>
      <c r="N369" s="4">
        <v>-0.1</v>
      </c>
      <c r="O369" s="4">
        <v>-0.1</v>
      </c>
      <c r="P369" s="4">
        <v>0</v>
      </c>
      <c r="Q369" s="3" t="s">
        <v>26</v>
      </c>
      <c r="R369" s="3">
        <v>0</v>
      </c>
      <c r="S369" s="4">
        <v>0</v>
      </c>
      <c r="T369" s="4">
        <v>20</v>
      </c>
      <c r="U369" s="4">
        <v>52</v>
      </c>
      <c r="V369" s="4">
        <f>IF(ISERROR(VLOOKUP($S$369,'TAR FIN'!$A$1:$O$85,15,0)),0,VLOOKUP($S$369,'TAR FIN'!$A$1:$O$85,15,0))</f>
        <v>0</v>
      </c>
      <c r="W369" s="4">
        <f>IF(ISERROR(VLOOKUP($T$369,'TAR FIN'!$A$1:$O$85,15,0)),0,VLOOKUP($T$369,'TAR FIN'!$A$1:$O$85,15,0))</f>
        <v>323.62</v>
      </c>
      <c r="X369" s="4">
        <f>IF(ISERROR(VLOOKUP($U$369,'TAR FIN'!$A$1:$O$85,15,0)),0,VLOOKUP($U$369,'TAR FIN'!$A$1:$O$85,15,0))</f>
        <v>235.76</v>
      </c>
      <c r="Y369" s="4"/>
      <c r="Z369" s="4">
        <f ca="1">('TUSD BE'!$AM$33+'TUSD BF'!$AM$33+'TUSD CVA'!$AM$33)*(1-CUSTOS!$M$38)</f>
        <v>411.34661537566791</v>
      </c>
      <c r="AA369" s="4">
        <f>('TE BE'!$AB$23+'TE BF'!$AB$23+'TE CVA'!$AB$23)*(1-CUSTOS!$M$38)</f>
        <v>174.29557455563423</v>
      </c>
      <c r="AB369" s="4">
        <f>$K$369*$V$369</f>
        <v>0</v>
      </c>
      <c r="AC369" s="4">
        <f>$M$369*$W$369</f>
        <v>-32.362000000000002</v>
      </c>
      <c r="AD369" s="4">
        <f>$O$369*$X$369</f>
        <v>-23.576000000000001</v>
      </c>
      <c r="AE369" s="4">
        <f>$K$369*$Y$369</f>
        <v>0</v>
      </c>
      <c r="AF369" s="4">
        <f ca="1">$M$369*$Z$369</f>
        <v>-41.134661537566792</v>
      </c>
      <c r="AG369" s="4">
        <f>$O$369*$AA$369</f>
        <v>-17.429557455563423</v>
      </c>
    </row>
    <row r="370" spans="1:33" ht="11.25" customHeight="1" x14ac:dyDescent="0.25">
      <c r="A370" s="3" t="s">
        <v>28</v>
      </c>
      <c r="B370" s="3" t="s">
        <v>40</v>
      </c>
      <c r="C370" s="3" t="s">
        <v>23</v>
      </c>
      <c r="D370" s="3" t="s">
        <v>41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44531</v>
      </c>
      <c r="J370" s="4">
        <v>0</v>
      </c>
      <c r="K370" s="4">
        <v>0</v>
      </c>
      <c r="L370" s="4">
        <v>6.6379999999999999</v>
      </c>
      <c r="M370" s="4">
        <v>6.6379999999999999</v>
      </c>
      <c r="N370" s="4">
        <v>6.6379999999999999</v>
      </c>
      <c r="O370" s="4">
        <v>6.6379999999999999</v>
      </c>
      <c r="P370" s="4">
        <v>4</v>
      </c>
      <c r="Q370" s="3" t="s">
        <v>26</v>
      </c>
      <c r="R370" s="3">
        <v>0</v>
      </c>
      <c r="S370" s="4">
        <v>0</v>
      </c>
      <c r="T370" s="4">
        <v>20</v>
      </c>
      <c r="U370" s="4">
        <v>52</v>
      </c>
      <c r="V370" s="4">
        <f>IF(ISERROR(VLOOKUP($S$370,'TAR FIN'!$A$1:$O$85,15,0)),0,VLOOKUP($S$370,'TAR FIN'!$A$1:$O$85,15,0))</f>
        <v>0</v>
      </c>
      <c r="W370" s="4">
        <f>IF(ISERROR(VLOOKUP($T$370,'TAR FIN'!$A$1:$O$85,15,0)),0,VLOOKUP($T$370,'TAR FIN'!$A$1:$O$85,15,0))</f>
        <v>323.62</v>
      </c>
      <c r="X370" s="4">
        <f>IF(ISERROR(VLOOKUP($U$370,'TAR FIN'!$A$1:$O$85,15,0)),0,VLOOKUP($U$370,'TAR FIN'!$A$1:$O$85,15,0))</f>
        <v>235.76</v>
      </c>
      <c r="Y370" s="4"/>
      <c r="Z370" s="4">
        <f ca="1">('TUSD BE'!$AM$33+'TUSD BF'!$AM$33+'TUSD CVA'!$AM$33)*(1-CUSTOS!$M$38)</f>
        <v>411.34661537566791</v>
      </c>
      <c r="AA370" s="4">
        <f>('TE BE'!$AB$23+'TE BF'!$AB$23+'TE CVA'!$AB$23)*(1-CUSTOS!$M$38)</f>
        <v>174.29557455563423</v>
      </c>
      <c r="AB370" s="4">
        <f>$K$370*$V$370</f>
        <v>0</v>
      </c>
      <c r="AC370" s="4">
        <f>$M$370*$W$370</f>
        <v>2148.1895599999998</v>
      </c>
      <c r="AD370" s="4">
        <f>$O$370*$X$370</f>
        <v>1564.97488</v>
      </c>
      <c r="AE370" s="4">
        <f>$K$370*$Y$370</f>
        <v>0</v>
      </c>
      <c r="AF370" s="4">
        <f ca="1">$M$370*$Z$370</f>
        <v>2730.5188328636837</v>
      </c>
      <c r="AG370" s="4">
        <f>$O$370*$AA$370</f>
        <v>1156.9740239002999</v>
      </c>
    </row>
    <row r="371" spans="1:33" ht="11.25" customHeight="1" x14ac:dyDescent="0.25">
      <c r="A371" s="3" t="s">
        <v>21</v>
      </c>
      <c r="B371" s="3" t="s">
        <v>40</v>
      </c>
      <c r="C371" s="3" t="s">
        <v>23</v>
      </c>
      <c r="D371" s="3" t="s">
        <v>41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44562</v>
      </c>
      <c r="J371" s="4">
        <v>0</v>
      </c>
      <c r="K371" s="4">
        <v>0</v>
      </c>
      <c r="L371" s="4">
        <v>271.41300000000001</v>
      </c>
      <c r="M371" s="4">
        <v>271.41300000000001</v>
      </c>
      <c r="N371" s="4">
        <v>271.41300000000001</v>
      </c>
      <c r="O371" s="4">
        <v>271.41300000000001</v>
      </c>
      <c r="P371" s="4">
        <v>402</v>
      </c>
      <c r="Q371" s="3" t="s">
        <v>26</v>
      </c>
      <c r="R371" s="3">
        <v>0</v>
      </c>
      <c r="S371" s="4">
        <v>0</v>
      </c>
      <c r="T371" s="4">
        <v>20</v>
      </c>
      <c r="U371" s="4">
        <v>52</v>
      </c>
      <c r="V371" s="4">
        <f>IF(ISERROR(VLOOKUP($S$371,'TAR FIN'!$A$1:$O$85,15,0)),0,VLOOKUP($S$371,'TAR FIN'!$A$1:$O$85,15,0))</f>
        <v>0</v>
      </c>
      <c r="W371" s="4">
        <f>IF(ISERROR(VLOOKUP($T$371,'TAR FIN'!$A$1:$O$85,15,0)),0,VLOOKUP($T$371,'TAR FIN'!$A$1:$O$85,15,0))</f>
        <v>323.62</v>
      </c>
      <c r="X371" s="4">
        <f>IF(ISERROR(VLOOKUP($U$371,'TAR FIN'!$A$1:$O$85,15,0)),0,VLOOKUP($U$371,'TAR FIN'!$A$1:$O$85,15,0))</f>
        <v>235.76</v>
      </c>
      <c r="Y371" s="4"/>
      <c r="Z371" s="4">
        <f ca="1">('TUSD BE'!$AM$33+'TUSD BF'!$AM$33+'TUSD CVA'!$AM$33)*(1-CUSTOS!$M$38)</f>
        <v>411.34661537566791</v>
      </c>
      <c r="AA371" s="4">
        <f>('TE BE'!$AB$23+'TE BF'!$AB$23+'TE CVA'!$AB$23)*(1-CUSTOS!$M$38)</f>
        <v>174.29557455563423</v>
      </c>
      <c r="AB371" s="4">
        <f>$K$371*$V$371</f>
        <v>0</v>
      </c>
      <c r="AC371" s="4">
        <f>$M$371*$W$371</f>
        <v>87834.675060000009</v>
      </c>
      <c r="AD371" s="4">
        <f>$O$371*$X$371</f>
        <v>63988.328880000001</v>
      </c>
      <c r="AE371" s="4">
        <f>$K$371*$Y$371</f>
        <v>0</v>
      </c>
      <c r="AF371" s="4">
        <f ca="1">$M$371*$Z$371</f>
        <v>111644.81891895615</v>
      </c>
      <c r="AG371" s="4">
        <f>$O$371*$AA$371</f>
        <v>47306.084776868352</v>
      </c>
    </row>
    <row r="372" spans="1:33" ht="11.25" customHeight="1" x14ac:dyDescent="0.25">
      <c r="A372" s="3" t="s">
        <v>27</v>
      </c>
      <c r="B372" s="3" t="s">
        <v>40</v>
      </c>
      <c r="C372" s="3" t="s">
        <v>23</v>
      </c>
      <c r="D372" s="3" t="s">
        <v>41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44562</v>
      </c>
      <c r="J372" s="4">
        <v>0</v>
      </c>
      <c r="K372" s="4">
        <v>0</v>
      </c>
      <c r="L372" s="4">
        <v>-0.58099999999999996</v>
      </c>
      <c r="M372" s="4">
        <v>-0.58099999999999996</v>
      </c>
      <c r="N372" s="4">
        <v>-0.58099999999999996</v>
      </c>
      <c r="O372" s="4">
        <v>-0.58099999999999996</v>
      </c>
      <c r="P372" s="4">
        <v>0</v>
      </c>
      <c r="Q372" s="3" t="s">
        <v>26</v>
      </c>
      <c r="R372" s="3">
        <v>0</v>
      </c>
      <c r="S372" s="4">
        <v>0</v>
      </c>
      <c r="T372" s="4">
        <v>20</v>
      </c>
      <c r="U372" s="4">
        <v>52</v>
      </c>
      <c r="V372" s="4">
        <f>IF(ISERROR(VLOOKUP($S$372,'TAR FIN'!$A$1:$O$85,15,0)),0,VLOOKUP($S$372,'TAR FIN'!$A$1:$O$85,15,0))</f>
        <v>0</v>
      </c>
      <c r="W372" s="4">
        <f>IF(ISERROR(VLOOKUP($T$372,'TAR FIN'!$A$1:$O$85,15,0)),0,VLOOKUP($T$372,'TAR FIN'!$A$1:$O$85,15,0))</f>
        <v>323.62</v>
      </c>
      <c r="X372" s="4">
        <f>IF(ISERROR(VLOOKUP($U$372,'TAR FIN'!$A$1:$O$85,15,0)),0,VLOOKUP($U$372,'TAR FIN'!$A$1:$O$85,15,0))</f>
        <v>235.76</v>
      </c>
      <c r="Y372" s="4"/>
      <c r="Z372" s="4">
        <f ca="1">('TUSD BE'!$AM$33+'TUSD BF'!$AM$33+'TUSD CVA'!$AM$33)*(1-CUSTOS!$M$38)</f>
        <v>411.34661537566791</v>
      </c>
      <c r="AA372" s="4">
        <f>('TE BE'!$AB$23+'TE BF'!$AB$23+'TE CVA'!$AB$23)*(1-CUSTOS!$M$38)</f>
        <v>174.29557455563423</v>
      </c>
      <c r="AB372" s="4">
        <f>$K$372*$V$372</f>
        <v>0</v>
      </c>
      <c r="AC372" s="4">
        <f>$M$372*$W$372</f>
        <v>-188.02321999999998</v>
      </c>
      <c r="AD372" s="4">
        <f>$O$372*$X$372</f>
        <v>-136.97655999999998</v>
      </c>
      <c r="AE372" s="4">
        <f>$K$372*$Y$372</f>
        <v>0</v>
      </c>
      <c r="AF372" s="4">
        <f ca="1">$M$372*$Z$372</f>
        <v>-238.99238353326305</v>
      </c>
      <c r="AG372" s="4">
        <f>$O$372*$AA$372</f>
        <v>-101.26572881682348</v>
      </c>
    </row>
    <row r="373" spans="1:33" ht="11.25" customHeight="1" x14ac:dyDescent="0.25">
      <c r="A373" s="3" t="s">
        <v>28</v>
      </c>
      <c r="B373" s="3" t="s">
        <v>40</v>
      </c>
      <c r="C373" s="3" t="s">
        <v>23</v>
      </c>
      <c r="D373" s="3" t="s">
        <v>41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44562</v>
      </c>
      <c r="J373" s="4">
        <v>0</v>
      </c>
      <c r="K373" s="4">
        <v>0</v>
      </c>
      <c r="L373" s="4">
        <v>8.0129999999999999</v>
      </c>
      <c r="M373" s="4">
        <v>8.0129999999999999</v>
      </c>
      <c r="N373" s="4">
        <v>8.0129999999999999</v>
      </c>
      <c r="O373" s="4">
        <v>8.0129999999999999</v>
      </c>
      <c r="P373" s="4">
        <v>5</v>
      </c>
      <c r="Q373" s="3" t="s">
        <v>26</v>
      </c>
      <c r="R373" s="3">
        <v>0</v>
      </c>
      <c r="S373" s="4">
        <v>0</v>
      </c>
      <c r="T373" s="4">
        <v>20</v>
      </c>
      <c r="U373" s="4">
        <v>52</v>
      </c>
      <c r="V373" s="4">
        <f>IF(ISERROR(VLOOKUP($S$373,'TAR FIN'!$A$1:$O$85,15,0)),0,VLOOKUP($S$373,'TAR FIN'!$A$1:$O$85,15,0))</f>
        <v>0</v>
      </c>
      <c r="W373" s="4">
        <f>IF(ISERROR(VLOOKUP($T$373,'TAR FIN'!$A$1:$O$85,15,0)),0,VLOOKUP($T$373,'TAR FIN'!$A$1:$O$85,15,0))</f>
        <v>323.62</v>
      </c>
      <c r="X373" s="4">
        <f>IF(ISERROR(VLOOKUP($U$373,'TAR FIN'!$A$1:$O$85,15,0)),0,VLOOKUP($U$373,'TAR FIN'!$A$1:$O$85,15,0))</f>
        <v>235.76</v>
      </c>
      <c r="Y373" s="4"/>
      <c r="Z373" s="4">
        <f ca="1">('TUSD BE'!$AM$33+'TUSD BF'!$AM$33+'TUSD CVA'!$AM$33)*(1-CUSTOS!$M$38)</f>
        <v>411.34661537566791</v>
      </c>
      <c r="AA373" s="4">
        <f>('TE BE'!$AB$23+'TE BF'!$AB$23+'TE CVA'!$AB$23)*(1-CUSTOS!$M$38)</f>
        <v>174.29557455563423</v>
      </c>
      <c r="AB373" s="4">
        <f>$K$373*$V$373</f>
        <v>0</v>
      </c>
      <c r="AC373" s="4">
        <f>$M$373*$W$373</f>
        <v>2593.1670600000002</v>
      </c>
      <c r="AD373" s="4">
        <f>$O$373*$X$373</f>
        <v>1889.1448799999998</v>
      </c>
      <c r="AE373" s="4">
        <f>$K$373*$Y$373</f>
        <v>0</v>
      </c>
      <c r="AF373" s="4">
        <f ca="1">$M$373*$Z$373</f>
        <v>3296.1204290052269</v>
      </c>
      <c r="AG373" s="4">
        <f>$O$373*$AA$373</f>
        <v>1396.630438914297</v>
      </c>
    </row>
    <row r="374" spans="1:33" ht="11.25" customHeight="1" x14ac:dyDescent="0.25">
      <c r="A374" s="3" t="s">
        <v>21</v>
      </c>
      <c r="B374" s="3" t="s">
        <v>40</v>
      </c>
      <c r="C374" s="3" t="s">
        <v>23</v>
      </c>
      <c r="D374" s="3" t="s">
        <v>41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44593</v>
      </c>
      <c r="J374" s="4">
        <v>0</v>
      </c>
      <c r="K374" s="4">
        <v>0</v>
      </c>
      <c r="L374" s="4">
        <v>282.45800000000003</v>
      </c>
      <c r="M374" s="4">
        <v>282.45800000000003</v>
      </c>
      <c r="N374" s="4">
        <v>282.45800000000003</v>
      </c>
      <c r="O374" s="4">
        <v>282.45800000000003</v>
      </c>
      <c r="P374" s="4">
        <v>401</v>
      </c>
      <c r="Q374" s="3" t="s">
        <v>26</v>
      </c>
      <c r="R374" s="3">
        <v>0</v>
      </c>
      <c r="S374" s="4">
        <v>0</v>
      </c>
      <c r="T374" s="4">
        <v>20</v>
      </c>
      <c r="U374" s="4">
        <v>52</v>
      </c>
      <c r="V374" s="4">
        <f>IF(ISERROR(VLOOKUP($S$374,'TAR FIN'!$A$1:$O$85,15,0)),0,VLOOKUP($S$374,'TAR FIN'!$A$1:$O$85,15,0))</f>
        <v>0</v>
      </c>
      <c r="W374" s="4">
        <f>IF(ISERROR(VLOOKUP($T$374,'TAR FIN'!$A$1:$O$85,15,0)),0,VLOOKUP($T$374,'TAR FIN'!$A$1:$O$85,15,0))</f>
        <v>323.62</v>
      </c>
      <c r="X374" s="4">
        <f>IF(ISERROR(VLOOKUP($U$374,'TAR FIN'!$A$1:$O$85,15,0)),0,VLOOKUP($U$374,'TAR FIN'!$A$1:$O$85,15,0))</f>
        <v>235.76</v>
      </c>
      <c r="Y374" s="4"/>
      <c r="Z374" s="4">
        <f ca="1">('TUSD BE'!$AM$33+'TUSD BF'!$AM$33+'TUSD CVA'!$AM$33)*(1-CUSTOS!$M$38)</f>
        <v>411.34661537566791</v>
      </c>
      <c r="AA374" s="4">
        <f>('TE BE'!$AB$23+'TE BF'!$AB$23+'TE CVA'!$AB$23)*(1-CUSTOS!$M$38)</f>
        <v>174.29557455563423</v>
      </c>
      <c r="AB374" s="4">
        <f>$K$374*$V$374</f>
        <v>0</v>
      </c>
      <c r="AC374" s="4">
        <f>$M$374*$W$374</f>
        <v>91409.057960000006</v>
      </c>
      <c r="AD374" s="4">
        <f>$O$374*$X$374</f>
        <v>66592.298080000008</v>
      </c>
      <c r="AE374" s="4">
        <f>$K$374*$Y$374</f>
        <v>0</v>
      </c>
      <c r="AF374" s="4">
        <f ca="1">$M$374*$Z$374</f>
        <v>116188.14228578041</v>
      </c>
      <c r="AG374" s="4">
        <f>$O$374*$AA$374</f>
        <v>49231.179397835338</v>
      </c>
    </row>
    <row r="375" spans="1:33" ht="11.25" customHeight="1" x14ac:dyDescent="0.25">
      <c r="A375" s="3" t="s">
        <v>28</v>
      </c>
      <c r="B375" s="3" t="s">
        <v>40</v>
      </c>
      <c r="C375" s="3" t="s">
        <v>23</v>
      </c>
      <c r="D375" s="3" t="s">
        <v>41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44593</v>
      </c>
      <c r="J375" s="4">
        <v>0</v>
      </c>
      <c r="K375" s="4">
        <v>0</v>
      </c>
      <c r="L375" s="4">
        <v>5.6319999999999997</v>
      </c>
      <c r="M375" s="4">
        <v>5.6319999999999997</v>
      </c>
      <c r="N375" s="4">
        <v>5.6319999999999997</v>
      </c>
      <c r="O375" s="4">
        <v>5.6319999999999997</v>
      </c>
      <c r="P375" s="4">
        <v>5</v>
      </c>
      <c r="Q375" s="3" t="s">
        <v>26</v>
      </c>
      <c r="R375" s="3">
        <v>0</v>
      </c>
      <c r="S375" s="4">
        <v>0</v>
      </c>
      <c r="T375" s="4">
        <v>20</v>
      </c>
      <c r="U375" s="4">
        <v>52</v>
      </c>
      <c r="V375" s="4">
        <f>IF(ISERROR(VLOOKUP($S$375,'TAR FIN'!$A$1:$O$85,15,0)),0,VLOOKUP($S$375,'TAR FIN'!$A$1:$O$85,15,0))</f>
        <v>0</v>
      </c>
      <c r="W375" s="4">
        <f>IF(ISERROR(VLOOKUP($T$375,'TAR FIN'!$A$1:$O$85,15,0)),0,VLOOKUP($T$375,'TAR FIN'!$A$1:$O$85,15,0))</f>
        <v>323.62</v>
      </c>
      <c r="X375" s="4">
        <f>IF(ISERROR(VLOOKUP($U$375,'TAR FIN'!$A$1:$O$85,15,0)),0,VLOOKUP($U$375,'TAR FIN'!$A$1:$O$85,15,0))</f>
        <v>235.76</v>
      </c>
      <c r="Y375" s="4"/>
      <c r="Z375" s="4">
        <f ca="1">('TUSD BE'!$AM$33+'TUSD BF'!$AM$33+'TUSD CVA'!$AM$33)*(1-CUSTOS!$M$38)</f>
        <v>411.34661537566791</v>
      </c>
      <c r="AA375" s="4">
        <f>('TE BE'!$AB$23+'TE BF'!$AB$23+'TE CVA'!$AB$23)*(1-CUSTOS!$M$38)</f>
        <v>174.29557455563423</v>
      </c>
      <c r="AB375" s="4">
        <f>$K$375*$V$375</f>
        <v>0</v>
      </c>
      <c r="AC375" s="4">
        <f>$M$375*$W$375</f>
        <v>1822.6278399999999</v>
      </c>
      <c r="AD375" s="4">
        <f>$O$375*$X$375</f>
        <v>1327.8003199999998</v>
      </c>
      <c r="AE375" s="4">
        <f>$K$375*$Y$375</f>
        <v>0</v>
      </c>
      <c r="AF375" s="4">
        <f ca="1">$M$375*$Z$375</f>
        <v>2316.7041377957617</v>
      </c>
      <c r="AG375" s="4">
        <f>$O$375*$AA$375</f>
        <v>981.63267589733198</v>
      </c>
    </row>
    <row r="376" spans="1:33" ht="11.25" customHeight="1" x14ac:dyDescent="0.25">
      <c r="A376" s="3" t="s">
        <v>21</v>
      </c>
      <c r="B376" s="3" t="s">
        <v>40</v>
      </c>
      <c r="C376" s="3" t="s">
        <v>23</v>
      </c>
      <c r="D376" s="3" t="s">
        <v>41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44621</v>
      </c>
      <c r="J376" s="4">
        <v>0</v>
      </c>
      <c r="K376" s="4">
        <v>0</v>
      </c>
      <c r="L376" s="4">
        <v>271.971</v>
      </c>
      <c r="M376" s="4">
        <v>271.971</v>
      </c>
      <c r="N376" s="4">
        <v>271.971</v>
      </c>
      <c r="O376" s="4">
        <v>271.971</v>
      </c>
      <c r="P376" s="4">
        <v>403</v>
      </c>
      <c r="Q376" s="3" t="s">
        <v>26</v>
      </c>
      <c r="R376" s="3">
        <v>0</v>
      </c>
      <c r="S376" s="4">
        <v>0</v>
      </c>
      <c r="T376" s="4">
        <v>20</v>
      </c>
      <c r="U376" s="4">
        <v>52</v>
      </c>
      <c r="V376" s="4">
        <f>IF(ISERROR(VLOOKUP($S$376,'TAR FIN'!$A$1:$O$85,15,0)),0,VLOOKUP($S$376,'TAR FIN'!$A$1:$O$85,15,0))</f>
        <v>0</v>
      </c>
      <c r="W376" s="4">
        <f>IF(ISERROR(VLOOKUP($T$376,'TAR FIN'!$A$1:$O$85,15,0)),0,VLOOKUP($T$376,'TAR FIN'!$A$1:$O$85,15,0))</f>
        <v>323.62</v>
      </c>
      <c r="X376" s="4">
        <f>IF(ISERROR(VLOOKUP($U$376,'TAR FIN'!$A$1:$O$85,15,0)),0,VLOOKUP($U$376,'TAR FIN'!$A$1:$O$85,15,0))</f>
        <v>235.76</v>
      </c>
      <c r="Y376" s="4"/>
      <c r="Z376" s="4">
        <f ca="1">('TUSD BE'!$AM$33+'TUSD BF'!$AM$33+'TUSD CVA'!$AM$33)*(1-CUSTOS!$M$38)</f>
        <v>411.34661537566791</v>
      </c>
      <c r="AA376" s="4">
        <f>('TE BE'!$AB$23+'TE BF'!$AB$23+'TE CVA'!$AB$23)*(1-CUSTOS!$M$38)</f>
        <v>174.29557455563423</v>
      </c>
      <c r="AB376" s="4">
        <f>$K$376*$V$376</f>
        <v>0</v>
      </c>
      <c r="AC376" s="4">
        <f>$M$376*$W$376</f>
        <v>88015.255019999997</v>
      </c>
      <c r="AD376" s="4">
        <f>$O$376*$X$376</f>
        <v>64119.882959999995</v>
      </c>
      <c r="AE376" s="4">
        <f>$K$376*$Y$376</f>
        <v>0</v>
      </c>
      <c r="AF376" s="4">
        <f ca="1">$M$376*$Z$376</f>
        <v>111874.35033033577</v>
      </c>
      <c r="AG376" s="4">
        <f>$O$376*$AA$376</f>
        <v>47403.341707470398</v>
      </c>
    </row>
    <row r="377" spans="1:33" ht="11.25" customHeight="1" x14ac:dyDescent="0.25">
      <c r="A377" s="3" t="s">
        <v>28</v>
      </c>
      <c r="B377" s="3" t="s">
        <v>40</v>
      </c>
      <c r="C377" s="3" t="s">
        <v>23</v>
      </c>
      <c r="D377" s="3" t="s">
        <v>41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44621</v>
      </c>
      <c r="J377" s="4">
        <v>0</v>
      </c>
      <c r="K377" s="4">
        <v>0</v>
      </c>
      <c r="L377" s="4">
        <v>9.7609999999999992</v>
      </c>
      <c r="M377" s="4">
        <v>9.7609999999999992</v>
      </c>
      <c r="N377" s="4">
        <v>9.7609999999999992</v>
      </c>
      <c r="O377" s="4">
        <v>9.7609999999999992</v>
      </c>
      <c r="P377" s="4">
        <v>5</v>
      </c>
      <c r="Q377" s="3" t="s">
        <v>26</v>
      </c>
      <c r="R377" s="3">
        <v>0</v>
      </c>
      <c r="S377" s="4">
        <v>0</v>
      </c>
      <c r="T377" s="4">
        <v>20</v>
      </c>
      <c r="U377" s="4">
        <v>52</v>
      </c>
      <c r="V377" s="4">
        <f>IF(ISERROR(VLOOKUP($S$377,'TAR FIN'!$A$1:$O$85,15,0)),0,VLOOKUP($S$377,'TAR FIN'!$A$1:$O$85,15,0))</f>
        <v>0</v>
      </c>
      <c r="W377" s="4">
        <f>IF(ISERROR(VLOOKUP($T$377,'TAR FIN'!$A$1:$O$85,15,0)),0,VLOOKUP($T$377,'TAR FIN'!$A$1:$O$85,15,0))</f>
        <v>323.62</v>
      </c>
      <c r="X377" s="4">
        <f>IF(ISERROR(VLOOKUP($U$377,'TAR FIN'!$A$1:$O$85,15,0)),0,VLOOKUP($U$377,'TAR FIN'!$A$1:$O$85,15,0))</f>
        <v>235.76</v>
      </c>
      <c r="Y377" s="4"/>
      <c r="Z377" s="4">
        <f ca="1">('TUSD BE'!$AM$33+'TUSD BF'!$AM$33+'TUSD CVA'!$AM$33)*(1-CUSTOS!$M$38)</f>
        <v>411.34661537566791</v>
      </c>
      <c r="AA377" s="4">
        <f>('TE BE'!$AB$23+'TE BF'!$AB$23+'TE CVA'!$AB$23)*(1-CUSTOS!$M$38)</f>
        <v>174.29557455563423</v>
      </c>
      <c r="AB377" s="4">
        <f>$K$377*$V$377</f>
        <v>0</v>
      </c>
      <c r="AC377" s="4">
        <f>$M$377*$W$377</f>
        <v>3158.85482</v>
      </c>
      <c r="AD377" s="4">
        <f>$O$377*$X$377</f>
        <v>2301.2533599999997</v>
      </c>
      <c r="AE377" s="4">
        <f>$K$377*$Y$377</f>
        <v>0</v>
      </c>
      <c r="AF377" s="4">
        <f ca="1">$M$377*$Z$377</f>
        <v>4015.1543126818942</v>
      </c>
      <c r="AG377" s="4">
        <f>$O$377*$AA$377</f>
        <v>1701.2991032375455</v>
      </c>
    </row>
    <row r="378" spans="1:33" ht="11.25" customHeight="1" x14ac:dyDescent="0.25">
      <c r="A378" s="3" t="s">
        <v>21</v>
      </c>
      <c r="B378" s="3" t="s">
        <v>40</v>
      </c>
      <c r="C378" s="3" t="s">
        <v>23</v>
      </c>
      <c r="D378" s="3" t="s">
        <v>41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44652</v>
      </c>
      <c r="J378" s="4">
        <v>0</v>
      </c>
      <c r="K378" s="4">
        <v>0</v>
      </c>
      <c r="L378" s="4">
        <v>260.178</v>
      </c>
      <c r="M378" s="4">
        <v>260.178</v>
      </c>
      <c r="N378" s="4">
        <v>260.178</v>
      </c>
      <c r="O378" s="4">
        <v>260.178</v>
      </c>
      <c r="P378" s="4">
        <v>401</v>
      </c>
      <c r="Q378" s="3" t="s">
        <v>26</v>
      </c>
      <c r="R378" s="3">
        <v>0</v>
      </c>
      <c r="S378" s="4">
        <v>0</v>
      </c>
      <c r="T378" s="4">
        <v>20</v>
      </c>
      <c r="U378" s="4">
        <v>52</v>
      </c>
      <c r="V378" s="4">
        <f>IF(ISERROR(VLOOKUP($S$378,'TAR FIN'!$A$1:$O$85,15,0)),0,VLOOKUP($S$378,'TAR FIN'!$A$1:$O$85,15,0))</f>
        <v>0</v>
      </c>
      <c r="W378" s="4">
        <f>IF(ISERROR(VLOOKUP($T$378,'TAR FIN'!$A$1:$O$85,15,0)),0,VLOOKUP($T$378,'TAR FIN'!$A$1:$O$85,15,0))</f>
        <v>323.62</v>
      </c>
      <c r="X378" s="4">
        <f>IF(ISERROR(VLOOKUP($U$378,'TAR FIN'!$A$1:$O$85,15,0)),0,VLOOKUP($U$378,'TAR FIN'!$A$1:$O$85,15,0))</f>
        <v>235.76</v>
      </c>
      <c r="Y378" s="4"/>
      <c r="Z378" s="4">
        <f ca="1">('TUSD BE'!$AM$33+'TUSD BF'!$AM$33+'TUSD CVA'!$AM$33)*(1-CUSTOS!$M$38)</f>
        <v>411.34661537566791</v>
      </c>
      <c r="AA378" s="4">
        <f>('TE BE'!$AB$23+'TE BF'!$AB$23+'TE CVA'!$AB$23)*(1-CUSTOS!$M$38)</f>
        <v>174.29557455563423</v>
      </c>
      <c r="AB378" s="4">
        <f>$K$378*$V$378</f>
        <v>0</v>
      </c>
      <c r="AC378" s="4">
        <f>$M$378*$W$378</f>
        <v>84198.804359999995</v>
      </c>
      <c r="AD378" s="4">
        <f>$O$378*$X$378</f>
        <v>61339.565279999995</v>
      </c>
      <c r="AE378" s="4">
        <f>$K$378*$Y$378</f>
        <v>0</v>
      </c>
      <c r="AF378" s="4">
        <f ca="1">$M$378*$Z$378</f>
        <v>107023.33969521052</v>
      </c>
      <c r="AG378" s="4">
        <f>$O$378*$AA$378</f>
        <v>45347.873996735805</v>
      </c>
    </row>
    <row r="379" spans="1:33" ht="11.25" customHeight="1" x14ac:dyDescent="0.25">
      <c r="A379" s="3" t="s">
        <v>28</v>
      </c>
      <c r="B379" s="3" t="s">
        <v>40</v>
      </c>
      <c r="C379" s="3" t="s">
        <v>23</v>
      </c>
      <c r="D379" s="3" t="s">
        <v>41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44652</v>
      </c>
      <c r="J379" s="4">
        <v>0</v>
      </c>
      <c r="K379" s="4">
        <v>0</v>
      </c>
      <c r="L379" s="4">
        <v>7.2590000000000003</v>
      </c>
      <c r="M379" s="4">
        <v>7.2590000000000003</v>
      </c>
      <c r="N379" s="4">
        <v>7.2590000000000003</v>
      </c>
      <c r="O379" s="4">
        <v>7.2590000000000003</v>
      </c>
      <c r="P379" s="4">
        <v>5</v>
      </c>
      <c r="Q379" s="3" t="s">
        <v>26</v>
      </c>
      <c r="R379" s="3">
        <v>0</v>
      </c>
      <c r="S379" s="4">
        <v>0</v>
      </c>
      <c r="T379" s="4">
        <v>20</v>
      </c>
      <c r="U379" s="4">
        <v>52</v>
      </c>
      <c r="V379" s="4">
        <f>IF(ISERROR(VLOOKUP($S$379,'TAR FIN'!$A$1:$O$85,15,0)),0,VLOOKUP($S$379,'TAR FIN'!$A$1:$O$85,15,0))</f>
        <v>0</v>
      </c>
      <c r="W379" s="4">
        <f>IF(ISERROR(VLOOKUP($T$379,'TAR FIN'!$A$1:$O$85,15,0)),0,VLOOKUP($T$379,'TAR FIN'!$A$1:$O$85,15,0))</f>
        <v>323.62</v>
      </c>
      <c r="X379" s="4">
        <f>IF(ISERROR(VLOOKUP($U$379,'TAR FIN'!$A$1:$O$85,15,0)),0,VLOOKUP($U$379,'TAR FIN'!$A$1:$O$85,15,0))</f>
        <v>235.76</v>
      </c>
      <c r="Y379" s="4"/>
      <c r="Z379" s="4">
        <f ca="1">('TUSD BE'!$AM$33+'TUSD BF'!$AM$33+'TUSD CVA'!$AM$33)*(1-CUSTOS!$M$38)</f>
        <v>411.34661537566791</v>
      </c>
      <c r="AA379" s="4">
        <f>('TE BE'!$AB$23+'TE BF'!$AB$23+'TE CVA'!$AB$23)*(1-CUSTOS!$M$38)</f>
        <v>174.29557455563423</v>
      </c>
      <c r="AB379" s="4">
        <f>$K$379*$V$379</f>
        <v>0</v>
      </c>
      <c r="AC379" s="4">
        <f>$M$379*$W$379</f>
        <v>2349.1575800000001</v>
      </c>
      <c r="AD379" s="4">
        <f>$O$379*$X$379</f>
        <v>1711.38184</v>
      </c>
      <c r="AE379" s="4">
        <f>$K$379*$Y$379</f>
        <v>0</v>
      </c>
      <c r="AF379" s="4">
        <f ca="1">$M$379*$Z$379</f>
        <v>2985.9650810119733</v>
      </c>
      <c r="AG379" s="4">
        <f>$O$379*$AA$379</f>
        <v>1265.2115756993489</v>
      </c>
    </row>
    <row r="380" spans="1:33" ht="11.25" customHeight="1" x14ac:dyDescent="0.25">
      <c r="A380" s="3" t="s">
        <v>21</v>
      </c>
      <c r="B380" s="3" t="s">
        <v>40</v>
      </c>
      <c r="C380" s="3" t="s">
        <v>23</v>
      </c>
      <c r="D380" s="3" t="s">
        <v>41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44682</v>
      </c>
      <c r="J380" s="4">
        <v>0</v>
      </c>
      <c r="K380" s="4">
        <v>0</v>
      </c>
      <c r="L380" s="4">
        <v>290.74700000000001</v>
      </c>
      <c r="M380" s="4">
        <v>290.74700000000001</v>
      </c>
      <c r="N380" s="4">
        <v>290.74700000000001</v>
      </c>
      <c r="O380" s="4">
        <v>290.74700000000001</v>
      </c>
      <c r="P380" s="4">
        <v>400</v>
      </c>
      <c r="Q380" s="3" t="s">
        <v>26</v>
      </c>
      <c r="R380" s="3">
        <v>0</v>
      </c>
      <c r="S380" s="4">
        <v>0</v>
      </c>
      <c r="T380" s="4">
        <v>20</v>
      </c>
      <c r="U380" s="4">
        <v>52</v>
      </c>
      <c r="V380" s="4">
        <f>IF(ISERROR(VLOOKUP($S$380,'TAR FIN'!$A$1:$O$85,15,0)),0,VLOOKUP($S$380,'TAR FIN'!$A$1:$O$85,15,0))</f>
        <v>0</v>
      </c>
      <c r="W380" s="4">
        <f>IF(ISERROR(VLOOKUP($T$380,'TAR FIN'!$A$1:$O$85,15,0)),0,VLOOKUP($T$380,'TAR FIN'!$A$1:$O$85,15,0))</f>
        <v>323.62</v>
      </c>
      <c r="X380" s="4">
        <f>IF(ISERROR(VLOOKUP($U$380,'TAR FIN'!$A$1:$O$85,15,0)),0,VLOOKUP($U$380,'TAR FIN'!$A$1:$O$85,15,0))</f>
        <v>235.76</v>
      </c>
      <c r="Y380" s="4"/>
      <c r="Z380" s="4">
        <f ca="1">('TUSD BE'!$AM$33+'TUSD BF'!$AM$33+'TUSD CVA'!$AM$33)*(1-CUSTOS!$M$38)</f>
        <v>411.34661537566791</v>
      </c>
      <c r="AA380" s="4">
        <f>('TE BE'!$AB$23+'TE BF'!$AB$23+'TE CVA'!$AB$23)*(1-CUSTOS!$M$38)</f>
        <v>174.29557455563423</v>
      </c>
      <c r="AB380" s="4">
        <f>$K$380*$V$380</f>
        <v>0</v>
      </c>
      <c r="AC380" s="4">
        <f>$M$380*$W$380</f>
        <v>94091.544140000013</v>
      </c>
      <c r="AD380" s="4">
        <f>$O$380*$X$380</f>
        <v>68546.512719999999</v>
      </c>
      <c r="AE380" s="4">
        <f>$K$380*$Y$380</f>
        <v>0</v>
      </c>
      <c r="AF380" s="4">
        <f ca="1">$M$380*$Z$380</f>
        <v>119597.79438062932</v>
      </c>
      <c r="AG380" s="4">
        <f>$O$380*$AA$380</f>
        <v>50675.915415326992</v>
      </c>
    </row>
    <row r="381" spans="1:33" ht="11.25" customHeight="1" x14ac:dyDescent="0.25">
      <c r="A381" s="3" t="s">
        <v>28</v>
      </c>
      <c r="B381" s="3" t="s">
        <v>40</v>
      </c>
      <c r="C381" s="3" t="s">
        <v>23</v>
      </c>
      <c r="D381" s="3" t="s">
        <v>41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44682</v>
      </c>
      <c r="J381" s="4">
        <v>0</v>
      </c>
      <c r="K381" s="4">
        <v>0</v>
      </c>
      <c r="L381" s="4">
        <v>7.97</v>
      </c>
      <c r="M381" s="4">
        <v>7.97</v>
      </c>
      <c r="N381" s="4">
        <v>7.97</v>
      </c>
      <c r="O381" s="4">
        <v>7.97</v>
      </c>
      <c r="P381" s="4">
        <v>6</v>
      </c>
      <c r="Q381" s="3" t="s">
        <v>26</v>
      </c>
      <c r="R381" s="3">
        <v>0</v>
      </c>
      <c r="S381" s="4">
        <v>0</v>
      </c>
      <c r="T381" s="4">
        <v>20</v>
      </c>
      <c r="U381" s="4">
        <v>52</v>
      </c>
      <c r="V381" s="4">
        <f>IF(ISERROR(VLOOKUP($S$381,'TAR FIN'!$A$1:$O$85,15,0)),0,VLOOKUP($S$381,'TAR FIN'!$A$1:$O$85,15,0))</f>
        <v>0</v>
      </c>
      <c r="W381" s="4">
        <f>IF(ISERROR(VLOOKUP($T$381,'TAR FIN'!$A$1:$O$85,15,0)),0,VLOOKUP($T$381,'TAR FIN'!$A$1:$O$85,15,0))</f>
        <v>323.62</v>
      </c>
      <c r="X381" s="4">
        <f>IF(ISERROR(VLOOKUP($U$381,'TAR FIN'!$A$1:$O$85,15,0)),0,VLOOKUP($U$381,'TAR FIN'!$A$1:$O$85,15,0))</f>
        <v>235.76</v>
      </c>
      <c r="Y381" s="4"/>
      <c r="Z381" s="4">
        <f ca="1">('TUSD BE'!$AM$33+'TUSD BF'!$AM$33+'TUSD CVA'!$AM$33)*(1-CUSTOS!$M$38)</f>
        <v>411.34661537566791</v>
      </c>
      <c r="AA381" s="4">
        <f>('TE BE'!$AB$23+'TE BF'!$AB$23+'TE CVA'!$AB$23)*(1-CUSTOS!$M$38)</f>
        <v>174.29557455563423</v>
      </c>
      <c r="AB381" s="4">
        <f>$K$381*$V$381</f>
        <v>0</v>
      </c>
      <c r="AC381" s="4">
        <f>$M$381*$W$381</f>
        <v>2579.2514000000001</v>
      </c>
      <c r="AD381" s="4">
        <f>$O$381*$X$381</f>
        <v>1879.0071999999998</v>
      </c>
      <c r="AE381" s="4">
        <f>$K$381*$Y$381</f>
        <v>0</v>
      </c>
      <c r="AF381" s="4">
        <f ca="1">$M$381*$Z$381</f>
        <v>3278.4325245440732</v>
      </c>
      <c r="AG381" s="4">
        <f>$O$381*$AA$381</f>
        <v>1389.1357292084049</v>
      </c>
    </row>
    <row r="382" spans="1:33" ht="11.25" customHeight="1" x14ac:dyDescent="0.25">
      <c r="A382" s="3" t="s">
        <v>21</v>
      </c>
      <c r="B382" s="3" t="s">
        <v>40</v>
      </c>
      <c r="C382" s="3" t="s">
        <v>23</v>
      </c>
      <c r="D382" s="3" t="s">
        <v>41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250.00200000000001</v>
      </c>
      <c r="M382" s="4">
        <v>250.00200000000001</v>
      </c>
      <c r="N382" s="4">
        <v>250.00200000000001</v>
      </c>
      <c r="O382" s="4">
        <v>250.00200000000001</v>
      </c>
      <c r="P382" s="4">
        <v>401</v>
      </c>
      <c r="Q382" s="3" t="s">
        <v>26</v>
      </c>
      <c r="R382" s="3">
        <v>0</v>
      </c>
      <c r="S382" s="4">
        <v>0</v>
      </c>
      <c r="T382" s="4">
        <v>20</v>
      </c>
      <c r="U382" s="4">
        <v>52</v>
      </c>
      <c r="V382" s="4">
        <f>IF(ISERROR(VLOOKUP($S$382,'TAR FIN'!$A$1:$O$85,15,0)),0,VLOOKUP($S$382,'TAR FIN'!$A$1:$O$85,15,0))</f>
        <v>0</v>
      </c>
      <c r="W382" s="4">
        <f>IF(ISERROR(VLOOKUP($T$382,'TAR FIN'!$A$1:$O$85,15,0)),0,VLOOKUP($T$382,'TAR FIN'!$A$1:$O$85,15,0))</f>
        <v>323.62</v>
      </c>
      <c r="X382" s="4">
        <f>IF(ISERROR(VLOOKUP($U$382,'TAR FIN'!$A$1:$O$85,15,0)),0,VLOOKUP($U$382,'TAR FIN'!$A$1:$O$85,15,0))</f>
        <v>235.76</v>
      </c>
      <c r="Y382" s="4"/>
      <c r="Z382" s="4">
        <f ca="1">('TUSD BE'!$AM$33+'TUSD BF'!$AM$33+'TUSD CVA'!$AM$33)*(1-CUSTOS!$M$38)</f>
        <v>411.34661537566791</v>
      </c>
      <c r="AA382" s="4">
        <f>('TE BE'!$AB$23+'TE BF'!$AB$23+'TE CVA'!$AB$23)*(1-CUSTOS!$M$38)</f>
        <v>174.29557455563423</v>
      </c>
      <c r="AB382" s="4">
        <f>$K$382*$V$382</f>
        <v>0</v>
      </c>
      <c r="AC382" s="4">
        <f>$M$382*$W$382</f>
        <v>80905.647240000006</v>
      </c>
      <c r="AD382" s="4">
        <f>$O$382*$X$382</f>
        <v>58940.471519999999</v>
      </c>
      <c r="AE382" s="4">
        <f>$K$382*$Y$382</f>
        <v>0</v>
      </c>
      <c r="AF382" s="4">
        <f ca="1">$M$382*$Z$382</f>
        <v>102837.47653714773</v>
      </c>
      <c r="AG382" s="4">
        <f>$O$382*$AA$382</f>
        <v>43574.242230057673</v>
      </c>
    </row>
    <row r="383" spans="1:33" ht="11.25" customHeight="1" x14ac:dyDescent="0.25">
      <c r="A383" s="3" t="s">
        <v>28</v>
      </c>
      <c r="B383" s="3" t="s">
        <v>40</v>
      </c>
      <c r="C383" s="3" t="s">
        <v>23</v>
      </c>
      <c r="D383" s="3" t="s">
        <v>41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44713</v>
      </c>
      <c r="J383" s="4">
        <v>0</v>
      </c>
      <c r="K383" s="4">
        <v>0</v>
      </c>
      <c r="L383" s="4">
        <v>12.179</v>
      </c>
      <c r="M383" s="4">
        <v>12.179</v>
      </c>
      <c r="N383" s="4">
        <v>12.179</v>
      </c>
      <c r="O383" s="4">
        <v>12.179</v>
      </c>
      <c r="P383" s="4">
        <v>8</v>
      </c>
      <c r="Q383" s="3" t="s">
        <v>26</v>
      </c>
      <c r="R383" s="3">
        <v>0</v>
      </c>
      <c r="S383" s="4">
        <v>0</v>
      </c>
      <c r="T383" s="4">
        <v>20</v>
      </c>
      <c r="U383" s="4">
        <v>52</v>
      </c>
      <c r="V383" s="4">
        <f>IF(ISERROR(VLOOKUP($S$383,'TAR FIN'!$A$1:$O$85,15,0)),0,VLOOKUP($S$383,'TAR FIN'!$A$1:$O$85,15,0))</f>
        <v>0</v>
      </c>
      <c r="W383" s="4">
        <f>IF(ISERROR(VLOOKUP($T$383,'TAR FIN'!$A$1:$O$85,15,0)),0,VLOOKUP($T$383,'TAR FIN'!$A$1:$O$85,15,0))</f>
        <v>323.62</v>
      </c>
      <c r="X383" s="4">
        <f>IF(ISERROR(VLOOKUP($U$383,'TAR FIN'!$A$1:$O$85,15,0)),0,VLOOKUP($U$383,'TAR FIN'!$A$1:$O$85,15,0))</f>
        <v>235.76</v>
      </c>
      <c r="Y383" s="4"/>
      <c r="Z383" s="4">
        <f ca="1">('TUSD BE'!$AM$33+'TUSD BF'!$AM$33+'TUSD CVA'!$AM$33)*(1-CUSTOS!$M$38)</f>
        <v>411.34661537566791</v>
      </c>
      <c r="AA383" s="4">
        <f>('TE BE'!$AB$23+'TE BF'!$AB$23+'TE CVA'!$AB$23)*(1-CUSTOS!$M$38)</f>
        <v>174.29557455563423</v>
      </c>
      <c r="AB383" s="4">
        <f>$K$383*$V$383</f>
        <v>0</v>
      </c>
      <c r="AC383" s="4">
        <f>$M$383*$W$383</f>
        <v>3941.36798</v>
      </c>
      <c r="AD383" s="4">
        <f>$O$383*$X$383</f>
        <v>2871.3210399999998</v>
      </c>
      <c r="AE383" s="4">
        <f>$K$383*$Y$383</f>
        <v>0</v>
      </c>
      <c r="AF383" s="4">
        <f ca="1">$M$383*$Z$383</f>
        <v>5009.7904286602597</v>
      </c>
      <c r="AG383" s="4">
        <f>$O$383*$AA$383</f>
        <v>2122.7458025130695</v>
      </c>
    </row>
    <row r="384" spans="1:33" ht="11.25" customHeight="1" x14ac:dyDescent="0.25">
      <c r="A384" s="3" t="s">
        <v>21</v>
      </c>
      <c r="B384" s="3" t="s">
        <v>40</v>
      </c>
      <c r="C384" s="3" t="s">
        <v>23</v>
      </c>
      <c r="D384" s="3" t="s">
        <v>41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44743</v>
      </c>
      <c r="J384" s="4">
        <v>0</v>
      </c>
      <c r="K384" s="4">
        <v>0</v>
      </c>
      <c r="L384" s="4">
        <v>219.17400000000001</v>
      </c>
      <c r="M384" s="4">
        <v>219.17400000000001</v>
      </c>
      <c r="N384" s="4">
        <v>219.17400000000001</v>
      </c>
      <c r="O384" s="4">
        <v>219.17400000000001</v>
      </c>
      <c r="P384" s="4">
        <v>347</v>
      </c>
      <c r="Q384" s="3" t="s">
        <v>26</v>
      </c>
      <c r="R384" s="3">
        <v>0</v>
      </c>
      <c r="S384" s="4">
        <v>0</v>
      </c>
      <c r="T384" s="4">
        <v>20</v>
      </c>
      <c r="U384" s="4">
        <v>52</v>
      </c>
      <c r="V384" s="4">
        <f>IF(ISERROR(VLOOKUP($S$384,'TAR FIN'!$A$1:$O$85,15,0)),0,VLOOKUP($S$384,'TAR FIN'!$A$1:$O$85,15,0))</f>
        <v>0</v>
      </c>
      <c r="W384" s="4">
        <f>IF(ISERROR(VLOOKUP($T$384,'TAR FIN'!$A$1:$O$85,15,0)),0,VLOOKUP($T$384,'TAR FIN'!$A$1:$O$85,15,0))</f>
        <v>323.62</v>
      </c>
      <c r="X384" s="4">
        <f>IF(ISERROR(VLOOKUP($U$384,'TAR FIN'!$A$1:$O$85,15,0)),0,VLOOKUP($U$384,'TAR FIN'!$A$1:$O$85,15,0))</f>
        <v>235.76</v>
      </c>
      <c r="Y384" s="4"/>
      <c r="Z384" s="4">
        <f ca="1">('TUSD BE'!$AM$33+'TUSD BF'!$AM$33+'TUSD CVA'!$AM$33)*(1-CUSTOS!$M$38)</f>
        <v>411.34661537566791</v>
      </c>
      <c r="AA384" s="4">
        <f>('TE BE'!$AB$23+'TE BF'!$AB$23+'TE CVA'!$AB$23)*(1-CUSTOS!$M$38)</f>
        <v>174.29557455563423</v>
      </c>
      <c r="AB384" s="4">
        <f>$K$384*$V$384</f>
        <v>0</v>
      </c>
      <c r="AC384" s="4">
        <f>$M$384*$W$384</f>
        <v>70929.08988</v>
      </c>
      <c r="AD384" s="4">
        <f>$O$384*$X$384</f>
        <v>51672.462240000001</v>
      </c>
      <c r="AE384" s="4">
        <f>$K$384*$Y$384</f>
        <v>0</v>
      </c>
      <c r="AF384" s="4">
        <f ca="1">$M$384*$Z$384</f>
        <v>90156.483078346646</v>
      </c>
      <c r="AG384" s="4">
        <f>$O$384*$AA$384</f>
        <v>38201.058257656579</v>
      </c>
    </row>
    <row r="385" spans="1:33" ht="11.25" customHeight="1" x14ac:dyDescent="0.25">
      <c r="A385" s="3" t="s">
        <v>28</v>
      </c>
      <c r="B385" s="3" t="s">
        <v>40</v>
      </c>
      <c r="C385" s="3" t="s">
        <v>23</v>
      </c>
      <c r="D385" s="3" t="s">
        <v>41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44743</v>
      </c>
      <c r="J385" s="4">
        <v>0</v>
      </c>
      <c r="K385" s="4">
        <v>0</v>
      </c>
      <c r="L385" s="4">
        <v>10.712999999999999</v>
      </c>
      <c r="M385" s="4">
        <v>10.712999999999999</v>
      </c>
      <c r="N385" s="4">
        <v>10.712999999999999</v>
      </c>
      <c r="O385" s="4">
        <v>10.712999999999999</v>
      </c>
      <c r="P385" s="4">
        <v>8</v>
      </c>
      <c r="Q385" s="3" t="s">
        <v>26</v>
      </c>
      <c r="R385" s="3">
        <v>0</v>
      </c>
      <c r="S385" s="4">
        <v>0</v>
      </c>
      <c r="T385" s="4">
        <v>20</v>
      </c>
      <c r="U385" s="4">
        <v>52</v>
      </c>
      <c r="V385" s="4">
        <f>IF(ISERROR(VLOOKUP($S$385,'TAR FIN'!$A$1:$O$85,15,0)),0,VLOOKUP($S$385,'TAR FIN'!$A$1:$O$85,15,0))</f>
        <v>0</v>
      </c>
      <c r="W385" s="4">
        <f>IF(ISERROR(VLOOKUP($T$385,'TAR FIN'!$A$1:$O$85,15,0)),0,VLOOKUP($T$385,'TAR FIN'!$A$1:$O$85,15,0))</f>
        <v>323.62</v>
      </c>
      <c r="X385" s="4">
        <f>IF(ISERROR(VLOOKUP($U$385,'TAR FIN'!$A$1:$O$85,15,0)),0,VLOOKUP($U$385,'TAR FIN'!$A$1:$O$85,15,0))</f>
        <v>235.76</v>
      </c>
      <c r="Y385" s="4"/>
      <c r="Z385" s="4">
        <f ca="1">('TUSD BE'!$AM$33+'TUSD BF'!$AM$33+'TUSD CVA'!$AM$33)*(1-CUSTOS!$M$38)</f>
        <v>411.34661537566791</v>
      </c>
      <c r="AA385" s="4">
        <f>('TE BE'!$AB$23+'TE BF'!$AB$23+'TE CVA'!$AB$23)*(1-CUSTOS!$M$38)</f>
        <v>174.29557455563423</v>
      </c>
      <c r="AB385" s="4">
        <f>$K$385*$V$385</f>
        <v>0</v>
      </c>
      <c r="AC385" s="4">
        <f>$M$385*$W$385</f>
        <v>3466.9410599999997</v>
      </c>
      <c r="AD385" s="4">
        <f>$O$385*$X$385</f>
        <v>2525.6968799999995</v>
      </c>
      <c r="AE385" s="4">
        <f>$K$385*$Y$385</f>
        <v>0</v>
      </c>
      <c r="AF385" s="4">
        <f ca="1">$M$385*$Z$385</f>
        <v>4406.75629051953</v>
      </c>
      <c r="AG385" s="4">
        <f>$O$385*$AA$385</f>
        <v>1867.2284902145093</v>
      </c>
    </row>
    <row r="386" spans="1:33" ht="11.25" customHeight="1" x14ac:dyDescent="0.25">
      <c r="A386" s="3" t="s">
        <v>21</v>
      </c>
      <c r="B386" s="3" t="s">
        <v>40</v>
      </c>
      <c r="C386" s="3" t="s">
        <v>23</v>
      </c>
      <c r="D386" s="3" t="s">
        <v>41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44774</v>
      </c>
      <c r="J386" s="4">
        <v>0</v>
      </c>
      <c r="K386" s="4">
        <v>0</v>
      </c>
      <c r="L386" s="4">
        <v>224.46</v>
      </c>
      <c r="M386" s="4">
        <v>224.46</v>
      </c>
      <c r="N386" s="4">
        <v>224.46</v>
      </c>
      <c r="O386" s="4">
        <v>224.46</v>
      </c>
      <c r="P386" s="4">
        <v>349</v>
      </c>
      <c r="Q386" s="3" t="s">
        <v>26</v>
      </c>
      <c r="R386" s="3">
        <v>0</v>
      </c>
      <c r="S386" s="4">
        <v>0</v>
      </c>
      <c r="T386" s="4">
        <v>20</v>
      </c>
      <c r="U386" s="4">
        <v>52</v>
      </c>
      <c r="V386" s="4">
        <f>IF(ISERROR(VLOOKUP($S$386,'TAR FIN'!$A$1:$O$85,15,0)),0,VLOOKUP($S$386,'TAR FIN'!$A$1:$O$85,15,0))</f>
        <v>0</v>
      </c>
      <c r="W386" s="4">
        <f>IF(ISERROR(VLOOKUP($T$386,'TAR FIN'!$A$1:$O$85,15,0)),0,VLOOKUP($T$386,'TAR FIN'!$A$1:$O$85,15,0))</f>
        <v>323.62</v>
      </c>
      <c r="X386" s="4">
        <f>IF(ISERROR(VLOOKUP($U$386,'TAR FIN'!$A$1:$O$85,15,0)),0,VLOOKUP($U$386,'TAR FIN'!$A$1:$O$85,15,0))</f>
        <v>235.76</v>
      </c>
      <c r="Y386" s="4"/>
      <c r="Z386" s="4">
        <f ca="1">('TUSD BE'!$AM$33+'TUSD BF'!$AM$33+'TUSD CVA'!$AM$33)*(1-CUSTOS!$M$38)</f>
        <v>411.34661537566791</v>
      </c>
      <c r="AA386" s="4">
        <f>('TE BE'!$AB$23+'TE BF'!$AB$23+'TE CVA'!$AB$23)*(1-CUSTOS!$M$38)</f>
        <v>174.29557455563423</v>
      </c>
      <c r="AB386" s="4">
        <f>$K$386*$V$386</f>
        <v>0</v>
      </c>
      <c r="AC386" s="4">
        <f>$M$386*$W$386</f>
        <v>72639.745200000005</v>
      </c>
      <c r="AD386" s="4">
        <f>$O$386*$X$386</f>
        <v>52918.689599999998</v>
      </c>
      <c r="AE386" s="4">
        <f>$K$386*$Y$386</f>
        <v>0</v>
      </c>
      <c r="AF386" s="4">
        <f ca="1">$M$386*$Z$386</f>
        <v>92330.861287222418</v>
      </c>
      <c r="AG386" s="4">
        <f>$O$386*$AA$386</f>
        <v>39122.384664757665</v>
      </c>
    </row>
    <row r="387" spans="1:33" ht="11.25" customHeight="1" x14ac:dyDescent="0.25">
      <c r="A387" s="3" t="s">
        <v>28</v>
      </c>
      <c r="B387" s="3" t="s">
        <v>40</v>
      </c>
      <c r="C387" s="3" t="s">
        <v>23</v>
      </c>
      <c r="D387" s="3" t="s">
        <v>41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44774</v>
      </c>
      <c r="J387" s="4">
        <v>0</v>
      </c>
      <c r="K387" s="4">
        <v>0</v>
      </c>
      <c r="L387" s="4">
        <v>10.497</v>
      </c>
      <c r="M387" s="4">
        <v>10.497</v>
      </c>
      <c r="N387" s="4">
        <v>10.497</v>
      </c>
      <c r="O387" s="4">
        <v>10.497</v>
      </c>
      <c r="P387" s="4">
        <v>9</v>
      </c>
      <c r="Q387" s="3" t="s">
        <v>26</v>
      </c>
      <c r="R387" s="3">
        <v>0</v>
      </c>
      <c r="S387" s="4">
        <v>0</v>
      </c>
      <c r="T387" s="4">
        <v>20</v>
      </c>
      <c r="U387" s="4">
        <v>52</v>
      </c>
      <c r="V387" s="4">
        <f>IF(ISERROR(VLOOKUP($S$387,'TAR FIN'!$A$1:$O$85,15,0)),0,VLOOKUP($S$387,'TAR FIN'!$A$1:$O$85,15,0))</f>
        <v>0</v>
      </c>
      <c r="W387" s="4">
        <f>IF(ISERROR(VLOOKUP($T$387,'TAR FIN'!$A$1:$O$85,15,0)),0,VLOOKUP($T$387,'TAR FIN'!$A$1:$O$85,15,0))</f>
        <v>323.62</v>
      </c>
      <c r="X387" s="4">
        <f>IF(ISERROR(VLOOKUP($U$387,'TAR FIN'!$A$1:$O$85,15,0)),0,VLOOKUP($U$387,'TAR FIN'!$A$1:$O$85,15,0))</f>
        <v>235.76</v>
      </c>
      <c r="Y387" s="4"/>
      <c r="Z387" s="4">
        <f ca="1">('TUSD BE'!$AM$33+'TUSD BF'!$AM$33+'TUSD CVA'!$AM$33)*(1-CUSTOS!$M$38)</f>
        <v>411.34661537566791</v>
      </c>
      <c r="AA387" s="4">
        <f>('TE BE'!$AB$23+'TE BF'!$AB$23+'TE CVA'!$AB$23)*(1-CUSTOS!$M$38)</f>
        <v>174.29557455563423</v>
      </c>
      <c r="AB387" s="4">
        <f>$K$387*$V$387</f>
        <v>0</v>
      </c>
      <c r="AC387" s="4">
        <f>$M$387*$W$387</f>
        <v>3397.0391399999999</v>
      </c>
      <c r="AD387" s="4">
        <f>$O$387*$X$387</f>
        <v>2474.7727199999999</v>
      </c>
      <c r="AE387" s="4">
        <f>$K$387*$Y$387</f>
        <v>0</v>
      </c>
      <c r="AF387" s="4">
        <f ca="1">$M$387*$Z$387</f>
        <v>4317.9054215983861</v>
      </c>
      <c r="AG387" s="4">
        <f>$O$387*$AA$387</f>
        <v>1829.5806461104926</v>
      </c>
    </row>
    <row r="388" spans="1:33" ht="11.25" customHeight="1" x14ac:dyDescent="0.25">
      <c r="A388" s="3" t="s">
        <v>21</v>
      </c>
      <c r="B388" s="3" t="s">
        <v>33</v>
      </c>
      <c r="C388" s="3" t="s">
        <v>23</v>
      </c>
      <c r="D388" s="3" t="s">
        <v>39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44440</v>
      </c>
      <c r="J388" s="4">
        <v>0</v>
      </c>
      <c r="K388" s="4">
        <v>0</v>
      </c>
      <c r="L388" s="4">
        <v>118.773</v>
      </c>
      <c r="M388" s="4">
        <v>118.773</v>
      </c>
      <c r="N388" s="4">
        <v>118.773</v>
      </c>
      <c r="O388" s="4">
        <v>118.773</v>
      </c>
      <c r="P388" s="4">
        <v>124</v>
      </c>
      <c r="Q388" s="3" t="s">
        <v>26</v>
      </c>
      <c r="R388" s="3">
        <v>0</v>
      </c>
      <c r="S388" s="4">
        <v>0</v>
      </c>
      <c r="T388" s="4">
        <v>26</v>
      </c>
      <c r="U388" s="4">
        <v>81</v>
      </c>
      <c r="V388" s="4">
        <f>IF(ISERROR(VLOOKUP($S$388,'TAR FIN'!$A$1:$O$85,15,0)),0,VLOOKUP($S$388,'TAR FIN'!$A$1:$O$85,15,0))</f>
        <v>0</v>
      </c>
      <c r="W388" s="4">
        <f>IF(ISERROR(VLOOKUP($T$388,'TAR FIN'!$A$1:$O$85,15,0)),0,VLOOKUP($T$388,'TAR FIN'!$A$1:$O$85,15,0))</f>
        <v>367.75</v>
      </c>
      <c r="X388" s="4">
        <f>IF(ISERROR(VLOOKUP($U$388,'TAR FIN'!$A$1:$O$85,15,0)),0,VLOOKUP($U$388,'TAR FIN'!$A$1:$O$85,15,0))</f>
        <v>267.91000000000003</v>
      </c>
      <c r="Y388" s="4"/>
      <c r="Z388" s="4">
        <f ca="1">('TUSD BE'!$AM$48+'TUSD BF'!$AM$48+'TUSD CVA'!$AM$48)*1</f>
        <v>437.60278231454038</v>
      </c>
      <c r="AA388" s="4">
        <f>('TE BE'!$AB$38+'TE BF'!$AB$38+'TE CVA'!$AB$38)*1</f>
        <v>185.42082399535556</v>
      </c>
      <c r="AB388" s="4">
        <f>$K$388*$V$388</f>
        <v>0</v>
      </c>
      <c r="AC388" s="4">
        <f>$M$388*$W$388</f>
        <v>43678.770749999996</v>
      </c>
      <c r="AD388" s="4">
        <f>$O$388*$X$388</f>
        <v>31820.474430000002</v>
      </c>
      <c r="AE388" s="4">
        <f>$K$388*$Y$388</f>
        <v>0</v>
      </c>
      <c r="AF388" s="4">
        <f ca="1">$M$388*$Z$388</f>
        <v>51975.395263844905</v>
      </c>
      <c r="AG388" s="4">
        <f>$O$388*$AA$388</f>
        <v>22022.987528400365</v>
      </c>
    </row>
    <row r="389" spans="1:33" ht="11.25" customHeight="1" x14ac:dyDescent="0.25">
      <c r="A389" s="3" t="s">
        <v>28</v>
      </c>
      <c r="B389" s="3" t="s">
        <v>33</v>
      </c>
      <c r="C389" s="3" t="s">
        <v>23</v>
      </c>
      <c r="D389" s="3" t="s">
        <v>39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44440</v>
      </c>
      <c r="J389" s="4">
        <v>0</v>
      </c>
      <c r="K389" s="4">
        <v>0</v>
      </c>
      <c r="L389" s="4">
        <v>10.401</v>
      </c>
      <c r="M389" s="4">
        <v>10.401</v>
      </c>
      <c r="N389" s="4">
        <v>10.401</v>
      </c>
      <c r="O389" s="4">
        <v>10.401</v>
      </c>
      <c r="P389" s="4">
        <v>5</v>
      </c>
      <c r="Q389" s="3" t="s">
        <v>26</v>
      </c>
      <c r="R389" s="3">
        <v>0</v>
      </c>
      <c r="S389" s="4">
        <v>0</v>
      </c>
      <c r="T389" s="4">
        <v>26</v>
      </c>
      <c r="U389" s="4">
        <v>81</v>
      </c>
      <c r="V389" s="4">
        <f>IF(ISERROR(VLOOKUP($S$389,'TAR FIN'!$A$1:$O$85,15,0)),0,VLOOKUP($S$389,'TAR FIN'!$A$1:$O$85,15,0))</f>
        <v>0</v>
      </c>
      <c r="W389" s="4">
        <f>IF(ISERROR(VLOOKUP($T$389,'TAR FIN'!$A$1:$O$85,15,0)),0,VLOOKUP($T$389,'TAR FIN'!$A$1:$O$85,15,0))</f>
        <v>367.75</v>
      </c>
      <c r="X389" s="4">
        <f>IF(ISERROR(VLOOKUP($U$389,'TAR FIN'!$A$1:$O$85,15,0)),0,VLOOKUP($U$389,'TAR FIN'!$A$1:$O$85,15,0))</f>
        <v>267.91000000000003</v>
      </c>
      <c r="Y389" s="4"/>
      <c r="Z389" s="4">
        <f ca="1">('TUSD BE'!$AM$48+'TUSD BF'!$AM$48+'TUSD CVA'!$AM$48)*1</f>
        <v>437.60278231454038</v>
      </c>
      <c r="AA389" s="4">
        <f>('TE BE'!$AB$38+'TE BF'!$AB$38+'TE CVA'!$AB$38)*1</f>
        <v>185.42082399535556</v>
      </c>
      <c r="AB389" s="4">
        <f>$K$389*$V$389</f>
        <v>0</v>
      </c>
      <c r="AC389" s="4">
        <f>$M$389*$W$389</f>
        <v>3824.9677499999998</v>
      </c>
      <c r="AD389" s="4">
        <f>$O$389*$X$389</f>
        <v>2786.5319100000002</v>
      </c>
      <c r="AE389" s="4">
        <f>$K$389*$Y$389</f>
        <v>0</v>
      </c>
      <c r="AF389" s="4">
        <f ca="1">$M$389*$Z$389</f>
        <v>4551.506538853534</v>
      </c>
      <c r="AG389" s="4">
        <f>$O$389*$AA$389</f>
        <v>1928.5619903756931</v>
      </c>
    </row>
    <row r="390" spans="1:33" ht="11.25" customHeight="1" x14ac:dyDescent="0.25">
      <c r="A390" s="3" t="s">
        <v>21</v>
      </c>
      <c r="B390" s="3" t="s">
        <v>33</v>
      </c>
      <c r="C390" s="3" t="s">
        <v>23</v>
      </c>
      <c r="D390" s="3" t="s">
        <v>39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44470</v>
      </c>
      <c r="J390" s="4">
        <v>0</v>
      </c>
      <c r="K390" s="4">
        <v>0</v>
      </c>
      <c r="L390" s="4">
        <v>122.55</v>
      </c>
      <c r="M390" s="4">
        <v>122.55</v>
      </c>
      <c r="N390" s="4">
        <v>122.55</v>
      </c>
      <c r="O390" s="4">
        <v>122.55</v>
      </c>
      <c r="P390" s="4">
        <v>125</v>
      </c>
      <c r="Q390" s="3" t="s">
        <v>26</v>
      </c>
      <c r="R390" s="3">
        <v>0</v>
      </c>
      <c r="S390" s="4">
        <v>0</v>
      </c>
      <c r="T390" s="4">
        <v>26</v>
      </c>
      <c r="U390" s="4">
        <v>81</v>
      </c>
      <c r="V390" s="4">
        <f>IF(ISERROR(VLOOKUP($S$390,'TAR FIN'!$A$1:$O$85,15,0)),0,VLOOKUP($S$390,'TAR FIN'!$A$1:$O$85,15,0))</f>
        <v>0</v>
      </c>
      <c r="W390" s="4">
        <f>IF(ISERROR(VLOOKUP($T$390,'TAR FIN'!$A$1:$O$85,15,0)),0,VLOOKUP($T$390,'TAR FIN'!$A$1:$O$85,15,0))</f>
        <v>367.75</v>
      </c>
      <c r="X390" s="4">
        <f>IF(ISERROR(VLOOKUP($U$390,'TAR FIN'!$A$1:$O$85,15,0)),0,VLOOKUP($U$390,'TAR FIN'!$A$1:$O$85,15,0))</f>
        <v>267.91000000000003</v>
      </c>
      <c r="Y390" s="4"/>
      <c r="Z390" s="4">
        <f ca="1">('TUSD BE'!$AM$48+'TUSD BF'!$AM$48+'TUSD CVA'!$AM$48)*1</f>
        <v>437.60278231454038</v>
      </c>
      <c r="AA390" s="4">
        <f>('TE BE'!$AB$38+'TE BF'!$AB$38+'TE CVA'!$AB$38)*1</f>
        <v>185.42082399535556</v>
      </c>
      <c r="AB390" s="4">
        <f>$K$390*$V$390</f>
        <v>0</v>
      </c>
      <c r="AC390" s="4">
        <f>$M$390*$W$390</f>
        <v>45067.762499999997</v>
      </c>
      <c r="AD390" s="4">
        <f>$O$390*$X$390</f>
        <v>32832.370500000005</v>
      </c>
      <c r="AE390" s="4">
        <f>$K$390*$Y$390</f>
        <v>0</v>
      </c>
      <c r="AF390" s="4">
        <f ca="1">$M$390*$Z$390</f>
        <v>53628.220972646923</v>
      </c>
      <c r="AG390" s="4">
        <f>$O$390*$AA$390</f>
        <v>22723.321980630823</v>
      </c>
    </row>
    <row r="391" spans="1:33" ht="11.25" customHeight="1" x14ac:dyDescent="0.25">
      <c r="A391" s="3" t="s">
        <v>28</v>
      </c>
      <c r="B391" s="3" t="s">
        <v>33</v>
      </c>
      <c r="C391" s="3" t="s">
        <v>23</v>
      </c>
      <c r="D391" s="3" t="s">
        <v>39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44470</v>
      </c>
      <c r="J391" s="4">
        <v>0</v>
      </c>
      <c r="K391" s="4">
        <v>0</v>
      </c>
      <c r="L391" s="4">
        <v>13.31</v>
      </c>
      <c r="M391" s="4">
        <v>13.31</v>
      </c>
      <c r="N391" s="4">
        <v>13.31</v>
      </c>
      <c r="O391" s="4">
        <v>13.31</v>
      </c>
      <c r="P391" s="4">
        <v>6</v>
      </c>
      <c r="Q391" s="3" t="s">
        <v>26</v>
      </c>
      <c r="R391" s="3">
        <v>0</v>
      </c>
      <c r="S391" s="4">
        <v>0</v>
      </c>
      <c r="T391" s="4">
        <v>26</v>
      </c>
      <c r="U391" s="4">
        <v>81</v>
      </c>
      <c r="V391" s="4">
        <f>IF(ISERROR(VLOOKUP($S$391,'TAR FIN'!$A$1:$O$85,15,0)),0,VLOOKUP($S$391,'TAR FIN'!$A$1:$O$85,15,0))</f>
        <v>0</v>
      </c>
      <c r="W391" s="4">
        <f>IF(ISERROR(VLOOKUP($T$391,'TAR FIN'!$A$1:$O$85,15,0)),0,VLOOKUP($T$391,'TAR FIN'!$A$1:$O$85,15,0))</f>
        <v>367.75</v>
      </c>
      <c r="X391" s="4">
        <f>IF(ISERROR(VLOOKUP($U$391,'TAR FIN'!$A$1:$O$85,15,0)),0,VLOOKUP($U$391,'TAR FIN'!$A$1:$O$85,15,0))</f>
        <v>267.91000000000003</v>
      </c>
      <c r="Y391" s="4"/>
      <c r="Z391" s="4">
        <f ca="1">('TUSD BE'!$AM$48+'TUSD BF'!$AM$48+'TUSD CVA'!$AM$48)*1</f>
        <v>437.60278231454038</v>
      </c>
      <c r="AA391" s="4">
        <f>('TE BE'!$AB$38+'TE BF'!$AB$38+'TE CVA'!$AB$38)*1</f>
        <v>185.42082399535556</v>
      </c>
      <c r="AB391" s="4">
        <f>$K$391*$V$391</f>
        <v>0</v>
      </c>
      <c r="AC391" s="4">
        <f>$M$391*$W$391</f>
        <v>4894.7525000000005</v>
      </c>
      <c r="AD391" s="4">
        <f>$O$391*$X$391</f>
        <v>3565.8821000000003</v>
      </c>
      <c r="AE391" s="4">
        <f>$K$391*$Y$391</f>
        <v>0</v>
      </c>
      <c r="AF391" s="4">
        <f ca="1">$M$391*$Z$391</f>
        <v>5824.4930326065323</v>
      </c>
      <c r="AG391" s="4">
        <f>$O$391*$AA$391</f>
        <v>2467.9511673781826</v>
      </c>
    </row>
    <row r="392" spans="1:33" ht="11.25" customHeight="1" x14ac:dyDescent="0.25">
      <c r="A392" s="3" t="s">
        <v>21</v>
      </c>
      <c r="B392" s="3" t="s">
        <v>33</v>
      </c>
      <c r="C392" s="3" t="s">
        <v>23</v>
      </c>
      <c r="D392" s="3" t="s">
        <v>39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44501</v>
      </c>
      <c r="J392" s="4">
        <v>0</v>
      </c>
      <c r="K392" s="4">
        <v>0</v>
      </c>
      <c r="L392" s="4">
        <v>148.524</v>
      </c>
      <c r="M392" s="4">
        <v>148.524</v>
      </c>
      <c r="N392" s="4">
        <v>148.524</v>
      </c>
      <c r="O392" s="4">
        <v>148.524</v>
      </c>
      <c r="P392" s="4">
        <v>125</v>
      </c>
      <c r="Q392" s="3" t="s">
        <v>26</v>
      </c>
      <c r="R392" s="3">
        <v>0</v>
      </c>
      <c r="S392" s="4">
        <v>0</v>
      </c>
      <c r="T392" s="4">
        <v>26</v>
      </c>
      <c r="U392" s="4">
        <v>81</v>
      </c>
      <c r="V392" s="4">
        <f>IF(ISERROR(VLOOKUP($S$392,'TAR FIN'!$A$1:$O$85,15,0)),0,VLOOKUP($S$392,'TAR FIN'!$A$1:$O$85,15,0))</f>
        <v>0</v>
      </c>
      <c r="W392" s="4">
        <f>IF(ISERROR(VLOOKUP($T$392,'TAR FIN'!$A$1:$O$85,15,0)),0,VLOOKUP($T$392,'TAR FIN'!$A$1:$O$85,15,0))</f>
        <v>367.75</v>
      </c>
      <c r="X392" s="4">
        <f>IF(ISERROR(VLOOKUP($U$392,'TAR FIN'!$A$1:$O$85,15,0)),0,VLOOKUP($U$392,'TAR FIN'!$A$1:$O$85,15,0))</f>
        <v>267.91000000000003</v>
      </c>
      <c r="Y392" s="4"/>
      <c r="Z392" s="4">
        <f ca="1">('TUSD BE'!$AM$48+'TUSD BF'!$AM$48+'TUSD CVA'!$AM$48)*1</f>
        <v>437.60278231454038</v>
      </c>
      <c r="AA392" s="4">
        <f>('TE BE'!$AB$38+'TE BF'!$AB$38+'TE CVA'!$AB$38)*1</f>
        <v>185.42082399535556</v>
      </c>
      <c r="AB392" s="4">
        <f>$K$392*$V$392</f>
        <v>0</v>
      </c>
      <c r="AC392" s="4">
        <f>$M$392*$W$392</f>
        <v>54619.701000000001</v>
      </c>
      <c r="AD392" s="4">
        <f>$O$392*$X$392</f>
        <v>39791.064840000006</v>
      </c>
      <c r="AE392" s="4">
        <f>$K$392*$Y$392</f>
        <v>0</v>
      </c>
      <c r="AF392" s="4">
        <f ca="1">$M$392*$Z$392</f>
        <v>64994.515640484795</v>
      </c>
      <c r="AG392" s="4">
        <f>$O$392*$AA$392</f>
        <v>27539.44246308619</v>
      </c>
    </row>
    <row r="393" spans="1:33" ht="11.25" customHeight="1" x14ac:dyDescent="0.25">
      <c r="A393" s="3" t="s">
        <v>28</v>
      </c>
      <c r="B393" s="3" t="s">
        <v>33</v>
      </c>
      <c r="C393" s="3" t="s">
        <v>23</v>
      </c>
      <c r="D393" s="3" t="s">
        <v>39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44501</v>
      </c>
      <c r="J393" s="4">
        <v>0</v>
      </c>
      <c r="K393" s="4">
        <v>0</v>
      </c>
      <c r="L393" s="4">
        <v>10.808999999999999</v>
      </c>
      <c r="M393" s="4">
        <v>10.808999999999999</v>
      </c>
      <c r="N393" s="4">
        <v>10.808999999999999</v>
      </c>
      <c r="O393" s="4">
        <v>10.808999999999999</v>
      </c>
      <c r="P393" s="4">
        <v>7</v>
      </c>
      <c r="Q393" s="3" t="s">
        <v>26</v>
      </c>
      <c r="R393" s="3">
        <v>0</v>
      </c>
      <c r="S393" s="4">
        <v>0</v>
      </c>
      <c r="T393" s="4">
        <v>26</v>
      </c>
      <c r="U393" s="4">
        <v>81</v>
      </c>
      <c r="V393" s="4">
        <f>IF(ISERROR(VLOOKUP($S$393,'TAR FIN'!$A$1:$O$85,15,0)),0,VLOOKUP($S$393,'TAR FIN'!$A$1:$O$85,15,0))</f>
        <v>0</v>
      </c>
      <c r="W393" s="4">
        <f>IF(ISERROR(VLOOKUP($T$393,'TAR FIN'!$A$1:$O$85,15,0)),0,VLOOKUP($T$393,'TAR FIN'!$A$1:$O$85,15,0))</f>
        <v>367.75</v>
      </c>
      <c r="X393" s="4">
        <f>IF(ISERROR(VLOOKUP($U$393,'TAR FIN'!$A$1:$O$85,15,0)),0,VLOOKUP($U$393,'TAR FIN'!$A$1:$O$85,15,0))</f>
        <v>267.91000000000003</v>
      </c>
      <c r="Y393" s="4"/>
      <c r="Z393" s="4">
        <f ca="1">('TUSD BE'!$AM$48+'TUSD BF'!$AM$48+'TUSD CVA'!$AM$48)*1</f>
        <v>437.60278231454038</v>
      </c>
      <c r="AA393" s="4">
        <f>('TE BE'!$AB$38+'TE BF'!$AB$38+'TE CVA'!$AB$38)*1</f>
        <v>185.42082399535556</v>
      </c>
      <c r="AB393" s="4">
        <f>$K$393*$V$393</f>
        <v>0</v>
      </c>
      <c r="AC393" s="4">
        <f>$M$393*$W$393</f>
        <v>3975.0097499999997</v>
      </c>
      <c r="AD393" s="4">
        <f>$O$393*$X$393</f>
        <v>2895.8391900000001</v>
      </c>
      <c r="AE393" s="4">
        <f>$K$393*$Y$393</f>
        <v>0</v>
      </c>
      <c r="AF393" s="4">
        <f ca="1">$M$393*$Z$393</f>
        <v>4730.048474037867</v>
      </c>
      <c r="AG393" s="4">
        <f>$O$393*$AA$393</f>
        <v>2004.2136865657981</v>
      </c>
    </row>
    <row r="394" spans="1:33" ht="11.25" customHeight="1" x14ac:dyDescent="0.25">
      <c r="A394" s="3" t="s">
        <v>21</v>
      </c>
      <c r="B394" s="3" t="s">
        <v>33</v>
      </c>
      <c r="C394" s="3" t="s">
        <v>23</v>
      </c>
      <c r="D394" s="3" t="s">
        <v>39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44531</v>
      </c>
      <c r="J394" s="4">
        <v>0</v>
      </c>
      <c r="K394" s="4">
        <v>0</v>
      </c>
      <c r="L394" s="4">
        <v>139.43299999999999</v>
      </c>
      <c r="M394" s="4">
        <v>139.43299999999999</v>
      </c>
      <c r="N394" s="4">
        <v>139.43299999999999</v>
      </c>
      <c r="O394" s="4">
        <v>139.43299999999999</v>
      </c>
      <c r="P394" s="4">
        <v>126</v>
      </c>
      <c r="Q394" s="3" t="s">
        <v>26</v>
      </c>
      <c r="R394" s="3">
        <v>0</v>
      </c>
      <c r="S394" s="4">
        <v>0</v>
      </c>
      <c r="T394" s="4">
        <v>26</v>
      </c>
      <c r="U394" s="4">
        <v>81</v>
      </c>
      <c r="V394" s="4">
        <f>IF(ISERROR(VLOOKUP($S$394,'TAR FIN'!$A$1:$O$85,15,0)),0,VLOOKUP($S$394,'TAR FIN'!$A$1:$O$85,15,0))</f>
        <v>0</v>
      </c>
      <c r="W394" s="4">
        <f>IF(ISERROR(VLOOKUP($T$394,'TAR FIN'!$A$1:$O$85,15,0)),0,VLOOKUP($T$394,'TAR FIN'!$A$1:$O$85,15,0))</f>
        <v>367.75</v>
      </c>
      <c r="X394" s="4">
        <f>IF(ISERROR(VLOOKUP($U$394,'TAR FIN'!$A$1:$O$85,15,0)),0,VLOOKUP($U$394,'TAR FIN'!$A$1:$O$85,15,0))</f>
        <v>267.91000000000003</v>
      </c>
      <c r="Y394" s="4"/>
      <c r="Z394" s="4">
        <f ca="1">('TUSD BE'!$AM$48+'TUSD BF'!$AM$48+'TUSD CVA'!$AM$48)*1</f>
        <v>437.60278231454038</v>
      </c>
      <c r="AA394" s="4">
        <f>('TE BE'!$AB$38+'TE BF'!$AB$38+'TE CVA'!$AB$38)*1</f>
        <v>185.42082399535556</v>
      </c>
      <c r="AB394" s="4">
        <f>$K$394*$V$394</f>
        <v>0</v>
      </c>
      <c r="AC394" s="4">
        <f>$M$394*$W$394</f>
        <v>51276.48575</v>
      </c>
      <c r="AD394" s="4">
        <f>$O$394*$X$394</f>
        <v>37355.495029999998</v>
      </c>
      <c r="AE394" s="4">
        <f>$K$394*$Y$394</f>
        <v>0</v>
      </c>
      <c r="AF394" s="4">
        <f ca="1">$M$394*$Z$394</f>
        <v>61016.268746463305</v>
      </c>
      <c r="AG394" s="4">
        <f>$O$394*$AA$394</f>
        <v>25853.781752144412</v>
      </c>
    </row>
    <row r="395" spans="1:33" ht="11.25" customHeight="1" x14ac:dyDescent="0.25">
      <c r="A395" s="3" t="s">
        <v>28</v>
      </c>
      <c r="B395" s="3" t="s">
        <v>33</v>
      </c>
      <c r="C395" s="3" t="s">
        <v>23</v>
      </c>
      <c r="D395" s="3" t="s">
        <v>39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44531</v>
      </c>
      <c r="J395" s="4">
        <v>0</v>
      </c>
      <c r="K395" s="4">
        <v>0</v>
      </c>
      <c r="L395" s="4">
        <v>9.0350000000000001</v>
      </c>
      <c r="M395" s="4">
        <v>9.0350000000000001</v>
      </c>
      <c r="N395" s="4">
        <v>9.0350000000000001</v>
      </c>
      <c r="O395" s="4">
        <v>9.0350000000000001</v>
      </c>
      <c r="P395" s="4">
        <v>7</v>
      </c>
      <c r="Q395" s="3" t="s">
        <v>26</v>
      </c>
      <c r="R395" s="3">
        <v>0</v>
      </c>
      <c r="S395" s="4">
        <v>0</v>
      </c>
      <c r="T395" s="4">
        <v>26</v>
      </c>
      <c r="U395" s="4">
        <v>81</v>
      </c>
      <c r="V395" s="4">
        <f>IF(ISERROR(VLOOKUP($S$395,'TAR FIN'!$A$1:$O$85,15,0)),0,VLOOKUP($S$395,'TAR FIN'!$A$1:$O$85,15,0))</f>
        <v>0</v>
      </c>
      <c r="W395" s="4">
        <f>IF(ISERROR(VLOOKUP($T$395,'TAR FIN'!$A$1:$O$85,15,0)),0,VLOOKUP($T$395,'TAR FIN'!$A$1:$O$85,15,0))</f>
        <v>367.75</v>
      </c>
      <c r="X395" s="4">
        <f>IF(ISERROR(VLOOKUP($U$395,'TAR FIN'!$A$1:$O$85,15,0)),0,VLOOKUP($U$395,'TAR FIN'!$A$1:$O$85,15,0))</f>
        <v>267.91000000000003</v>
      </c>
      <c r="Y395" s="4"/>
      <c r="Z395" s="4">
        <f ca="1">('TUSD BE'!$AM$48+'TUSD BF'!$AM$48+'TUSD CVA'!$AM$48)*1</f>
        <v>437.60278231454038</v>
      </c>
      <c r="AA395" s="4">
        <f>('TE BE'!$AB$38+'TE BF'!$AB$38+'TE CVA'!$AB$38)*1</f>
        <v>185.42082399535556</v>
      </c>
      <c r="AB395" s="4">
        <f>$K$395*$V$395</f>
        <v>0</v>
      </c>
      <c r="AC395" s="4">
        <f>$M$395*$W$395</f>
        <v>3322.6212500000001</v>
      </c>
      <c r="AD395" s="4">
        <f>$O$395*$X$395</f>
        <v>2420.5668500000002</v>
      </c>
      <c r="AE395" s="4">
        <f>$K$395*$Y$395</f>
        <v>0</v>
      </c>
      <c r="AF395" s="4">
        <f ca="1">$M$395*$Z$395</f>
        <v>3953.7411382118726</v>
      </c>
      <c r="AG395" s="4">
        <f>$O$395*$AA$395</f>
        <v>1675.2771447980376</v>
      </c>
    </row>
    <row r="396" spans="1:33" ht="11.25" customHeight="1" x14ac:dyDescent="0.25">
      <c r="A396" s="3" t="s">
        <v>21</v>
      </c>
      <c r="B396" s="3" t="s">
        <v>33</v>
      </c>
      <c r="C396" s="3" t="s">
        <v>23</v>
      </c>
      <c r="D396" s="3" t="s">
        <v>39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44562</v>
      </c>
      <c r="J396" s="4">
        <v>0</v>
      </c>
      <c r="K396" s="4">
        <v>0</v>
      </c>
      <c r="L396" s="4">
        <v>117.601</v>
      </c>
      <c r="M396" s="4">
        <v>117.601</v>
      </c>
      <c r="N396" s="4">
        <v>117.601</v>
      </c>
      <c r="O396" s="4">
        <v>117.601</v>
      </c>
      <c r="P396" s="4">
        <v>125</v>
      </c>
      <c r="Q396" s="3" t="s">
        <v>26</v>
      </c>
      <c r="R396" s="3">
        <v>0</v>
      </c>
      <c r="S396" s="4">
        <v>0</v>
      </c>
      <c r="T396" s="4">
        <v>26</v>
      </c>
      <c r="U396" s="4">
        <v>81</v>
      </c>
      <c r="V396" s="4">
        <f>IF(ISERROR(VLOOKUP($S$396,'TAR FIN'!$A$1:$O$85,15,0)),0,VLOOKUP($S$396,'TAR FIN'!$A$1:$O$85,15,0))</f>
        <v>0</v>
      </c>
      <c r="W396" s="4">
        <f>IF(ISERROR(VLOOKUP($T$396,'TAR FIN'!$A$1:$O$85,15,0)),0,VLOOKUP($T$396,'TAR FIN'!$A$1:$O$85,15,0))</f>
        <v>367.75</v>
      </c>
      <c r="X396" s="4">
        <f>IF(ISERROR(VLOOKUP($U$396,'TAR FIN'!$A$1:$O$85,15,0)),0,VLOOKUP($U$396,'TAR FIN'!$A$1:$O$85,15,0))</f>
        <v>267.91000000000003</v>
      </c>
      <c r="Y396" s="4"/>
      <c r="Z396" s="4">
        <f ca="1">('TUSD BE'!$AM$48+'TUSD BF'!$AM$48+'TUSD CVA'!$AM$48)*1</f>
        <v>437.60278231454038</v>
      </c>
      <c r="AA396" s="4">
        <f>('TE BE'!$AB$38+'TE BF'!$AB$38+'TE CVA'!$AB$38)*1</f>
        <v>185.42082399535556</v>
      </c>
      <c r="AB396" s="4">
        <f>$K$396*$V$396</f>
        <v>0</v>
      </c>
      <c r="AC396" s="4">
        <f>$M$396*$W$396</f>
        <v>43247.767749999999</v>
      </c>
      <c r="AD396" s="4">
        <f>$O$396*$X$396</f>
        <v>31506.483910000003</v>
      </c>
      <c r="AE396" s="4">
        <f>$K$396*$Y$396</f>
        <v>0</v>
      </c>
      <c r="AF396" s="4">
        <f ca="1">$M$396*$Z$396</f>
        <v>51462.524802972264</v>
      </c>
      <c r="AG396" s="4">
        <f>$O$396*$AA$396</f>
        <v>21805.674322677809</v>
      </c>
    </row>
    <row r="397" spans="1:33" ht="11.25" customHeight="1" x14ac:dyDescent="0.25">
      <c r="A397" s="3" t="s">
        <v>28</v>
      </c>
      <c r="B397" s="3" t="s">
        <v>33</v>
      </c>
      <c r="C397" s="3" t="s">
        <v>23</v>
      </c>
      <c r="D397" s="3" t="s">
        <v>39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44562</v>
      </c>
      <c r="J397" s="4">
        <v>0</v>
      </c>
      <c r="K397" s="4">
        <v>0</v>
      </c>
      <c r="L397" s="4">
        <v>10.872</v>
      </c>
      <c r="M397" s="4">
        <v>10.872</v>
      </c>
      <c r="N397" s="4">
        <v>10.872</v>
      </c>
      <c r="O397" s="4">
        <v>10.872</v>
      </c>
      <c r="P397" s="4">
        <v>7</v>
      </c>
      <c r="Q397" s="3" t="s">
        <v>26</v>
      </c>
      <c r="R397" s="3">
        <v>0</v>
      </c>
      <c r="S397" s="4">
        <v>0</v>
      </c>
      <c r="T397" s="4">
        <v>26</v>
      </c>
      <c r="U397" s="4">
        <v>81</v>
      </c>
      <c r="V397" s="4">
        <f>IF(ISERROR(VLOOKUP($S$397,'TAR FIN'!$A$1:$O$85,15,0)),0,VLOOKUP($S$397,'TAR FIN'!$A$1:$O$85,15,0))</f>
        <v>0</v>
      </c>
      <c r="W397" s="4">
        <f>IF(ISERROR(VLOOKUP($T$397,'TAR FIN'!$A$1:$O$85,15,0)),0,VLOOKUP($T$397,'TAR FIN'!$A$1:$O$85,15,0))</f>
        <v>367.75</v>
      </c>
      <c r="X397" s="4">
        <f>IF(ISERROR(VLOOKUP($U$397,'TAR FIN'!$A$1:$O$85,15,0)),0,VLOOKUP($U$397,'TAR FIN'!$A$1:$O$85,15,0))</f>
        <v>267.91000000000003</v>
      </c>
      <c r="Y397" s="4"/>
      <c r="Z397" s="4">
        <f ca="1">('TUSD BE'!$AM$48+'TUSD BF'!$AM$48+'TUSD CVA'!$AM$48)*1</f>
        <v>437.60278231454038</v>
      </c>
      <c r="AA397" s="4">
        <f>('TE BE'!$AB$38+'TE BF'!$AB$38+'TE CVA'!$AB$38)*1</f>
        <v>185.42082399535556</v>
      </c>
      <c r="AB397" s="4">
        <f>$K$397*$V$397</f>
        <v>0</v>
      </c>
      <c r="AC397" s="4">
        <f>$M$397*$W$397</f>
        <v>3998.1779999999999</v>
      </c>
      <c r="AD397" s="4">
        <f>$O$397*$X$397</f>
        <v>2912.7175200000001</v>
      </c>
      <c r="AE397" s="4">
        <f>$K$397*$Y$397</f>
        <v>0</v>
      </c>
      <c r="AF397" s="4">
        <f ca="1">$M$397*$Z$397</f>
        <v>4757.6174493236831</v>
      </c>
      <c r="AG397" s="4">
        <f>$O$397*$AA$397</f>
        <v>2015.8951984775056</v>
      </c>
    </row>
    <row r="398" spans="1:33" ht="11.25" customHeight="1" x14ac:dyDescent="0.25">
      <c r="A398" s="3" t="s">
        <v>21</v>
      </c>
      <c r="B398" s="3" t="s">
        <v>33</v>
      </c>
      <c r="C398" s="3" t="s">
        <v>23</v>
      </c>
      <c r="D398" s="3" t="s">
        <v>39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44593</v>
      </c>
      <c r="J398" s="4">
        <v>0</v>
      </c>
      <c r="K398" s="4">
        <v>0</v>
      </c>
      <c r="L398" s="4">
        <v>127.312</v>
      </c>
      <c r="M398" s="4">
        <v>127.312</v>
      </c>
      <c r="N398" s="4">
        <v>127.312</v>
      </c>
      <c r="O398" s="4">
        <v>127.312</v>
      </c>
      <c r="P398" s="4">
        <v>124</v>
      </c>
      <c r="Q398" s="3" t="s">
        <v>26</v>
      </c>
      <c r="R398" s="3">
        <v>0</v>
      </c>
      <c r="S398" s="4">
        <v>0</v>
      </c>
      <c r="T398" s="4">
        <v>26</v>
      </c>
      <c r="U398" s="4">
        <v>81</v>
      </c>
      <c r="V398" s="4">
        <f>IF(ISERROR(VLOOKUP($S$398,'TAR FIN'!$A$1:$O$85,15,0)),0,VLOOKUP($S$398,'TAR FIN'!$A$1:$O$85,15,0))</f>
        <v>0</v>
      </c>
      <c r="W398" s="4">
        <f>IF(ISERROR(VLOOKUP($T$398,'TAR FIN'!$A$1:$O$85,15,0)),0,VLOOKUP($T$398,'TAR FIN'!$A$1:$O$85,15,0))</f>
        <v>367.75</v>
      </c>
      <c r="X398" s="4">
        <f>IF(ISERROR(VLOOKUP($U$398,'TAR FIN'!$A$1:$O$85,15,0)),0,VLOOKUP($U$398,'TAR FIN'!$A$1:$O$85,15,0))</f>
        <v>267.91000000000003</v>
      </c>
      <c r="Y398" s="4"/>
      <c r="Z398" s="4">
        <f ca="1">('TUSD BE'!$AM$48+'TUSD BF'!$AM$48+'TUSD CVA'!$AM$48)*1</f>
        <v>437.60278231454038</v>
      </c>
      <c r="AA398" s="4">
        <f>('TE BE'!$AB$38+'TE BF'!$AB$38+'TE CVA'!$AB$38)*1</f>
        <v>185.42082399535556</v>
      </c>
      <c r="AB398" s="4">
        <f>$K$398*$V$398</f>
        <v>0</v>
      </c>
      <c r="AC398" s="4">
        <f>$M$398*$W$398</f>
        <v>46818.987999999998</v>
      </c>
      <c r="AD398" s="4">
        <f>$O$398*$X$398</f>
        <v>34108.157920000005</v>
      </c>
      <c r="AE398" s="4">
        <f>$K$398*$Y$398</f>
        <v>0</v>
      </c>
      <c r="AF398" s="4">
        <f ca="1">$M$398*$Z$398</f>
        <v>55712.085422028766</v>
      </c>
      <c r="AG398" s="4">
        <f>$O$398*$AA$398</f>
        <v>23606.295944496705</v>
      </c>
    </row>
    <row r="399" spans="1:33" ht="11.25" customHeight="1" x14ac:dyDescent="0.25">
      <c r="A399" s="3" t="s">
        <v>28</v>
      </c>
      <c r="B399" s="3" t="s">
        <v>33</v>
      </c>
      <c r="C399" s="3" t="s">
        <v>23</v>
      </c>
      <c r="D399" s="3" t="s">
        <v>39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44593</v>
      </c>
      <c r="J399" s="4">
        <v>0</v>
      </c>
      <c r="K399" s="4">
        <v>0</v>
      </c>
      <c r="L399" s="4">
        <v>9.1359999999999992</v>
      </c>
      <c r="M399" s="4">
        <v>9.1359999999999992</v>
      </c>
      <c r="N399" s="4">
        <v>9.1359999999999992</v>
      </c>
      <c r="O399" s="4">
        <v>9.1359999999999992</v>
      </c>
      <c r="P399" s="4">
        <v>7</v>
      </c>
      <c r="Q399" s="3" t="s">
        <v>26</v>
      </c>
      <c r="R399" s="3">
        <v>0</v>
      </c>
      <c r="S399" s="4">
        <v>0</v>
      </c>
      <c r="T399" s="4">
        <v>26</v>
      </c>
      <c r="U399" s="4">
        <v>81</v>
      </c>
      <c r="V399" s="4">
        <f>IF(ISERROR(VLOOKUP($S$399,'TAR FIN'!$A$1:$O$85,15,0)),0,VLOOKUP($S$399,'TAR FIN'!$A$1:$O$85,15,0))</f>
        <v>0</v>
      </c>
      <c r="W399" s="4">
        <f>IF(ISERROR(VLOOKUP($T$399,'TAR FIN'!$A$1:$O$85,15,0)),0,VLOOKUP($T$399,'TAR FIN'!$A$1:$O$85,15,0))</f>
        <v>367.75</v>
      </c>
      <c r="X399" s="4">
        <f>IF(ISERROR(VLOOKUP($U$399,'TAR FIN'!$A$1:$O$85,15,0)),0,VLOOKUP($U$399,'TAR FIN'!$A$1:$O$85,15,0))</f>
        <v>267.91000000000003</v>
      </c>
      <c r="Y399" s="4"/>
      <c r="Z399" s="4">
        <f ca="1">('TUSD BE'!$AM$48+'TUSD BF'!$AM$48+'TUSD CVA'!$AM$48)*1</f>
        <v>437.60278231454038</v>
      </c>
      <c r="AA399" s="4">
        <f>('TE BE'!$AB$38+'TE BF'!$AB$38+'TE CVA'!$AB$38)*1</f>
        <v>185.42082399535556</v>
      </c>
      <c r="AB399" s="4">
        <f>$K$399*$V$399</f>
        <v>0</v>
      </c>
      <c r="AC399" s="4">
        <f>$M$399*$W$399</f>
        <v>3359.7639999999997</v>
      </c>
      <c r="AD399" s="4">
        <f>$O$399*$X$399</f>
        <v>2447.6257599999999</v>
      </c>
      <c r="AE399" s="4">
        <f>$K$399*$Y$399</f>
        <v>0</v>
      </c>
      <c r="AF399" s="4">
        <f ca="1">$M$399*$Z$399</f>
        <v>3997.9390192256405</v>
      </c>
      <c r="AG399" s="4">
        <f>$O$399*$AA$399</f>
        <v>1694.0046480215683</v>
      </c>
    </row>
    <row r="400" spans="1:33" ht="11.25" customHeight="1" x14ac:dyDescent="0.25">
      <c r="A400" s="3" t="s">
        <v>21</v>
      </c>
      <c r="B400" s="3" t="s">
        <v>33</v>
      </c>
      <c r="C400" s="3" t="s">
        <v>23</v>
      </c>
      <c r="D400" s="3" t="s">
        <v>39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44621</v>
      </c>
      <c r="J400" s="4">
        <v>0</v>
      </c>
      <c r="K400" s="4">
        <v>0</v>
      </c>
      <c r="L400" s="4">
        <v>122.499</v>
      </c>
      <c r="M400" s="4">
        <v>122.499</v>
      </c>
      <c r="N400" s="4">
        <v>122.499</v>
      </c>
      <c r="O400" s="4">
        <v>122.499</v>
      </c>
      <c r="P400" s="4">
        <v>124</v>
      </c>
      <c r="Q400" s="3" t="s">
        <v>26</v>
      </c>
      <c r="R400" s="3">
        <v>0</v>
      </c>
      <c r="S400" s="4">
        <v>0</v>
      </c>
      <c r="T400" s="4">
        <v>26</v>
      </c>
      <c r="U400" s="4">
        <v>81</v>
      </c>
      <c r="V400" s="4">
        <f>IF(ISERROR(VLOOKUP($S$400,'TAR FIN'!$A$1:$O$85,15,0)),0,VLOOKUP($S$400,'TAR FIN'!$A$1:$O$85,15,0))</f>
        <v>0</v>
      </c>
      <c r="W400" s="4">
        <f>IF(ISERROR(VLOOKUP($T$400,'TAR FIN'!$A$1:$O$85,15,0)),0,VLOOKUP($T$400,'TAR FIN'!$A$1:$O$85,15,0))</f>
        <v>367.75</v>
      </c>
      <c r="X400" s="4">
        <f>IF(ISERROR(VLOOKUP($U$400,'TAR FIN'!$A$1:$O$85,15,0)),0,VLOOKUP($U$400,'TAR FIN'!$A$1:$O$85,15,0))</f>
        <v>267.91000000000003</v>
      </c>
      <c r="Y400" s="4"/>
      <c r="Z400" s="4">
        <f ca="1">('TUSD BE'!$AM$48+'TUSD BF'!$AM$48+'TUSD CVA'!$AM$48)*1</f>
        <v>437.60278231454038</v>
      </c>
      <c r="AA400" s="4">
        <f>('TE BE'!$AB$38+'TE BF'!$AB$38+'TE CVA'!$AB$38)*1</f>
        <v>185.42082399535556</v>
      </c>
      <c r="AB400" s="4">
        <f>$K$400*$V$400</f>
        <v>0</v>
      </c>
      <c r="AC400" s="4">
        <f>$M$400*$W$400</f>
        <v>45049.007249999995</v>
      </c>
      <c r="AD400" s="4">
        <f>$O$400*$X$400</f>
        <v>32818.707090000004</v>
      </c>
      <c r="AE400" s="4">
        <f>$K$400*$Y$400</f>
        <v>0</v>
      </c>
      <c r="AF400" s="4">
        <f ca="1">$M$400*$Z$400</f>
        <v>53605.903230748881</v>
      </c>
      <c r="AG400" s="4">
        <f>$O$400*$AA$400</f>
        <v>22713.865518607061</v>
      </c>
    </row>
    <row r="401" spans="1:33" ht="11.25" customHeight="1" x14ac:dyDescent="0.25">
      <c r="A401" s="3" t="s">
        <v>28</v>
      </c>
      <c r="B401" s="3" t="s">
        <v>33</v>
      </c>
      <c r="C401" s="3" t="s">
        <v>23</v>
      </c>
      <c r="D401" s="3" t="s">
        <v>39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44621</v>
      </c>
      <c r="J401" s="4">
        <v>0</v>
      </c>
      <c r="K401" s="4">
        <v>0</v>
      </c>
      <c r="L401" s="4">
        <v>9.3260000000000005</v>
      </c>
      <c r="M401" s="4">
        <v>9.3260000000000005</v>
      </c>
      <c r="N401" s="4">
        <v>9.3260000000000005</v>
      </c>
      <c r="O401" s="4">
        <v>9.3260000000000005</v>
      </c>
      <c r="P401" s="4">
        <v>7</v>
      </c>
      <c r="Q401" s="3" t="s">
        <v>26</v>
      </c>
      <c r="R401" s="3">
        <v>0</v>
      </c>
      <c r="S401" s="4">
        <v>0</v>
      </c>
      <c r="T401" s="4">
        <v>26</v>
      </c>
      <c r="U401" s="4">
        <v>81</v>
      </c>
      <c r="V401" s="4">
        <f>IF(ISERROR(VLOOKUP($S$401,'TAR FIN'!$A$1:$O$85,15,0)),0,VLOOKUP($S$401,'TAR FIN'!$A$1:$O$85,15,0))</f>
        <v>0</v>
      </c>
      <c r="W401" s="4">
        <f>IF(ISERROR(VLOOKUP($T$401,'TAR FIN'!$A$1:$O$85,15,0)),0,VLOOKUP($T$401,'TAR FIN'!$A$1:$O$85,15,0))</f>
        <v>367.75</v>
      </c>
      <c r="X401" s="4">
        <f>IF(ISERROR(VLOOKUP($U$401,'TAR FIN'!$A$1:$O$85,15,0)),0,VLOOKUP($U$401,'TAR FIN'!$A$1:$O$85,15,0))</f>
        <v>267.91000000000003</v>
      </c>
      <c r="Y401" s="4"/>
      <c r="Z401" s="4">
        <f ca="1">('TUSD BE'!$AM$48+'TUSD BF'!$AM$48+'TUSD CVA'!$AM$48)*1</f>
        <v>437.60278231454038</v>
      </c>
      <c r="AA401" s="4">
        <f>('TE BE'!$AB$38+'TE BF'!$AB$38+'TE CVA'!$AB$38)*1</f>
        <v>185.42082399535556</v>
      </c>
      <c r="AB401" s="4">
        <f>$K$401*$V$401</f>
        <v>0</v>
      </c>
      <c r="AC401" s="4">
        <f>$M$401*$W$401</f>
        <v>3429.6365000000001</v>
      </c>
      <c r="AD401" s="4">
        <f>$O$401*$X$401</f>
        <v>2498.5286600000004</v>
      </c>
      <c r="AE401" s="4">
        <f>$K$401*$Y$401</f>
        <v>0</v>
      </c>
      <c r="AF401" s="4">
        <f ca="1">$M$401*$Z$401</f>
        <v>4081.0835478654039</v>
      </c>
      <c r="AG401" s="4">
        <f>$O$401*$AA$401</f>
        <v>1729.234604580686</v>
      </c>
    </row>
    <row r="402" spans="1:33" ht="11.25" customHeight="1" x14ac:dyDescent="0.25">
      <c r="A402" s="3" t="s">
        <v>21</v>
      </c>
      <c r="B402" s="3" t="s">
        <v>33</v>
      </c>
      <c r="C402" s="3" t="s">
        <v>23</v>
      </c>
      <c r="D402" s="3" t="s">
        <v>39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44652</v>
      </c>
      <c r="J402" s="4">
        <v>0</v>
      </c>
      <c r="K402" s="4">
        <v>0</v>
      </c>
      <c r="L402" s="4">
        <v>124.28700000000001</v>
      </c>
      <c r="M402" s="4">
        <v>124.28700000000001</v>
      </c>
      <c r="N402" s="4">
        <v>124.28700000000001</v>
      </c>
      <c r="O402" s="4">
        <v>124.28700000000001</v>
      </c>
      <c r="P402" s="4">
        <v>126</v>
      </c>
      <c r="Q402" s="3" t="s">
        <v>26</v>
      </c>
      <c r="R402" s="3">
        <v>0</v>
      </c>
      <c r="S402" s="4">
        <v>0</v>
      </c>
      <c r="T402" s="4">
        <v>26</v>
      </c>
      <c r="U402" s="4">
        <v>81</v>
      </c>
      <c r="V402" s="4">
        <f>IF(ISERROR(VLOOKUP($S$402,'TAR FIN'!$A$1:$O$85,15,0)),0,VLOOKUP($S$402,'TAR FIN'!$A$1:$O$85,15,0))</f>
        <v>0</v>
      </c>
      <c r="W402" s="4">
        <f>IF(ISERROR(VLOOKUP($T$402,'TAR FIN'!$A$1:$O$85,15,0)),0,VLOOKUP($T$402,'TAR FIN'!$A$1:$O$85,15,0))</f>
        <v>367.75</v>
      </c>
      <c r="X402" s="4">
        <f>IF(ISERROR(VLOOKUP($U$402,'TAR FIN'!$A$1:$O$85,15,0)),0,VLOOKUP($U$402,'TAR FIN'!$A$1:$O$85,15,0))</f>
        <v>267.91000000000003</v>
      </c>
      <c r="Y402" s="4"/>
      <c r="Z402" s="4">
        <f ca="1">('TUSD BE'!$AM$48+'TUSD BF'!$AM$48+'TUSD CVA'!$AM$48)*1</f>
        <v>437.60278231454038</v>
      </c>
      <c r="AA402" s="4">
        <f>('TE BE'!$AB$38+'TE BF'!$AB$38+'TE CVA'!$AB$38)*1</f>
        <v>185.42082399535556</v>
      </c>
      <c r="AB402" s="4">
        <f>$K$402*$V$402</f>
        <v>0</v>
      </c>
      <c r="AC402" s="4">
        <f>$M$402*$W$402</f>
        <v>45706.544249999999</v>
      </c>
      <c r="AD402" s="4">
        <f>$O$402*$X$402</f>
        <v>33297.730170000003</v>
      </c>
      <c r="AE402" s="4">
        <f>$K$402*$Y$402</f>
        <v>0</v>
      </c>
      <c r="AF402" s="4">
        <f ca="1">$M$402*$Z$402</f>
        <v>54388.337005527283</v>
      </c>
      <c r="AG402" s="4">
        <f>$O$402*$AA$402</f>
        <v>23045.397951910756</v>
      </c>
    </row>
    <row r="403" spans="1:33" ht="11.25" customHeight="1" x14ac:dyDescent="0.25">
      <c r="A403" s="3" t="s">
        <v>28</v>
      </c>
      <c r="B403" s="3" t="s">
        <v>33</v>
      </c>
      <c r="C403" s="3" t="s">
        <v>23</v>
      </c>
      <c r="D403" s="3" t="s">
        <v>39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44652</v>
      </c>
      <c r="J403" s="4">
        <v>0</v>
      </c>
      <c r="K403" s="4">
        <v>0</v>
      </c>
      <c r="L403" s="4">
        <v>8.6940000000000008</v>
      </c>
      <c r="M403" s="4">
        <v>8.6940000000000008</v>
      </c>
      <c r="N403" s="4">
        <v>8.6940000000000008</v>
      </c>
      <c r="O403" s="4">
        <v>8.6940000000000008</v>
      </c>
      <c r="P403" s="4">
        <v>8</v>
      </c>
      <c r="Q403" s="3" t="s">
        <v>26</v>
      </c>
      <c r="R403" s="3">
        <v>0</v>
      </c>
      <c r="S403" s="4">
        <v>0</v>
      </c>
      <c r="T403" s="4">
        <v>26</v>
      </c>
      <c r="U403" s="4">
        <v>81</v>
      </c>
      <c r="V403" s="4">
        <f>IF(ISERROR(VLOOKUP($S$403,'TAR FIN'!$A$1:$O$85,15,0)),0,VLOOKUP($S$403,'TAR FIN'!$A$1:$O$85,15,0))</f>
        <v>0</v>
      </c>
      <c r="W403" s="4">
        <f>IF(ISERROR(VLOOKUP($T$403,'TAR FIN'!$A$1:$O$85,15,0)),0,VLOOKUP($T$403,'TAR FIN'!$A$1:$O$85,15,0))</f>
        <v>367.75</v>
      </c>
      <c r="X403" s="4">
        <f>IF(ISERROR(VLOOKUP($U$403,'TAR FIN'!$A$1:$O$85,15,0)),0,VLOOKUP($U$403,'TAR FIN'!$A$1:$O$85,15,0))</f>
        <v>267.91000000000003</v>
      </c>
      <c r="Y403" s="4"/>
      <c r="Z403" s="4">
        <f ca="1">('TUSD BE'!$AM$48+'TUSD BF'!$AM$48+'TUSD CVA'!$AM$48)*1</f>
        <v>437.60278231454038</v>
      </c>
      <c r="AA403" s="4">
        <f>('TE BE'!$AB$38+'TE BF'!$AB$38+'TE CVA'!$AB$38)*1</f>
        <v>185.42082399535556</v>
      </c>
      <c r="AB403" s="4">
        <f>$K$403*$V$403</f>
        <v>0</v>
      </c>
      <c r="AC403" s="4">
        <f>$M$403*$W$403</f>
        <v>3197.2185000000004</v>
      </c>
      <c r="AD403" s="4">
        <f>$O$403*$X$403</f>
        <v>2329.2095400000003</v>
      </c>
      <c r="AE403" s="4">
        <f>$K$403*$Y$403</f>
        <v>0</v>
      </c>
      <c r="AF403" s="4">
        <f ca="1">$M$403*$Z$403</f>
        <v>3804.5185894426145</v>
      </c>
      <c r="AG403" s="4">
        <f>$O$403*$AA$403</f>
        <v>1612.0486438156215</v>
      </c>
    </row>
    <row r="404" spans="1:33" ht="11.25" customHeight="1" x14ac:dyDescent="0.25">
      <c r="A404" s="3" t="s">
        <v>21</v>
      </c>
      <c r="B404" s="3" t="s">
        <v>33</v>
      </c>
      <c r="C404" s="3" t="s">
        <v>23</v>
      </c>
      <c r="D404" s="3" t="s">
        <v>39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44682</v>
      </c>
      <c r="J404" s="4">
        <v>0</v>
      </c>
      <c r="K404" s="4">
        <v>0</v>
      </c>
      <c r="L404" s="4">
        <v>116.154</v>
      </c>
      <c r="M404" s="4">
        <v>116.154</v>
      </c>
      <c r="N404" s="4">
        <v>116.154</v>
      </c>
      <c r="O404" s="4">
        <v>116.154</v>
      </c>
      <c r="P404" s="4">
        <v>126</v>
      </c>
      <c r="Q404" s="3" t="s">
        <v>26</v>
      </c>
      <c r="R404" s="3">
        <v>0</v>
      </c>
      <c r="S404" s="4">
        <v>0</v>
      </c>
      <c r="T404" s="4">
        <v>26</v>
      </c>
      <c r="U404" s="4">
        <v>81</v>
      </c>
      <c r="V404" s="4">
        <f>IF(ISERROR(VLOOKUP($S$404,'TAR FIN'!$A$1:$O$85,15,0)),0,VLOOKUP($S$404,'TAR FIN'!$A$1:$O$85,15,0))</f>
        <v>0</v>
      </c>
      <c r="W404" s="4">
        <f>IF(ISERROR(VLOOKUP($T$404,'TAR FIN'!$A$1:$O$85,15,0)),0,VLOOKUP($T$404,'TAR FIN'!$A$1:$O$85,15,0))</f>
        <v>367.75</v>
      </c>
      <c r="X404" s="4">
        <f>IF(ISERROR(VLOOKUP($U$404,'TAR FIN'!$A$1:$O$85,15,0)),0,VLOOKUP($U$404,'TAR FIN'!$A$1:$O$85,15,0))</f>
        <v>267.91000000000003</v>
      </c>
      <c r="Y404" s="4"/>
      <c r="Z404" s="4">
        <f ca="1">('TUSD BE'!$AM$48+'TUSD BF'!$AM$48+'TUSD CVA'!$AM$48)*1</f>
        <v>437.60278231454038</v>
      </c>
      <c r="AA404" s="4">
        <f>('TE BE'!$AB$38+'TE BF'!$AB$38+'TE CVA'!$AB$38)*1</f>
        <v>185.42082399535556</v>
      </c>
      <c r="AB404" s="4">
        <f>$K$404*$V$404</f>
        <v>0</v>
      </c>
      <c r="AC404" s="4">
        <f>$M$404*$W$404</f>
        <v>42715.633499999996</v>
      </c>
      <c r="AD404" s="4">
        <f>$O$404*$X$404</f>
        <v>31118.818140000003</v>
      </c>
      <c r="AE404" s="4">
        <f>$K$404*$Y$404</f>
        <v>0</v>
      </c>
      <c r="AF404" s="4">
        <f ca="1">$M$404*$Z$404</f>
        <v>50829.313576963119</v>
      </c>
      <c r="AG404" s="4">
        <f>$O$404*$AA$404</f>
        <v>21537.370390356529</v>
      </c>
    </row>
    <row r="405" spans="1:33" ht="11.25" customHeight="1" x14ac:dyDescent="0.25">
      <c r="A405" s="3" t="s">
        <v>28</v>
      </c>
      <c r="B405" s="3" t="s">
        <v>33</v>
      </c>
      <c r="C405" s="3" t="s">
        <v>23</v>
      </c>
      <c r="D405" s="3" t="s">
        <v>39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44682</v>
      </c>
      <c r="J405" s="4">
        <v>0</v>
      </c>
      <c r="K405" s="4">
        <v>0</v>
      </c>
      <c r="L405" s="4">
        <v>7.7889999999999997</v>
      </c>
      <c r="M405" s="4">
        <v>7.7889999999999997</v>
      </c>
      <c r="N405" s="4">
        <v>7.7889999999999997</v>
      </c>
      <c r="O405" s="4">
        <v>7.7889999999999997</v>
      </c>
      <c r="P405" s="4">
        <v>9</v>
      </c>
      <c r="Q405" s="3" t="s">
        <v>26</v>
      </c>
      <c r="R405" s="3">
        <v>0</v>
      </c>
      <c r="S405" s="4">
        <v>0</v>
      </c>
      <c r="T405" s="4">
        <v>26</v>
      </c>
      <c r="U405" s="4">
        <v>81</v>
      </c>
      <c r="V405" s="4">
        <f>IF(ISERROR(VLOOKUP($S$405,'TAR FIN'!$A$1:$O$85,15,0)),0,VLOOKUP($S$405,'TAR FIN'!$A$1:$O$85,15,0))</f>
        <v>0</v>
      </c>
      <c r="W405" s="4">
        <f>IF(ISERROR(VLOOKUP($T$405,'TAR FIN'!$A$1:$O$85,15,0)),0,VLOOKUP($T$405,'TAR FIN'!$A$1:$O$85,15,0))</f>
        <v>367.75</v>
      </c>
      <c r="X405" s="4">
        <f>IF(ISERROR(VLOOKUP($U$405,'TAR FIN'!$A$1:$O$85,15,0)),0,VLOOKUP($U$405,'TAR FIN'!$A$1:$O$85,15,0))</f>
        <v>267.91000000000003</v>
      </c>
      <c r="Y405" s="4"/>
      <c r="Z405" s="4">
        <f ca="1">('TUSD BE'!$AM$48+'TUSD BF'!$AM$48+'TUSD CVA'!$AM$48)*1</f>
        <v>437.60278231454038</v>
      </c>
      <c r="AA405" s="4">
        <f>('TE BE'!$AB$38+'TE BF'!$AB$38+'TE CVA'!$AB$38)*1</f>
        <v>185.42082399535556</v>
      </c>
      <c r="AB405" s="4">
        <f>$K$405*$V$405</f>
        <v>0</v>
      </c>
      <c r="AC405" s="4">
        <f>$M$405*$W$405</f>
        <v>2864.4047499999997</v>
      </c>
      <c r="AD405" s="4">
        <f>$O$405*$X$405</f>
        <v>2086.75099</v>
      </c>
      <c r="AE405" s="4">
        <f>$K$405*$Y$405</f>
        <v>0</v>
      </c>
      <c r="AF405" s="4">
        <f ca="1">$M$405*$Z$405</f>
        <v>3408.488071447955</v>
      </c>
      <c r="AG405" s="4">
        <f>$O$405*$AA$405</f>
        <v>1444.2427980998243</v>
      </c>
    </row>
    <row r="406" spans="1:33" ht="11.25" customHeight="1" x14ac:dyDescent="0.25">
      <c r="A406" s="3" t="s">
        <v>21</v>
      </c>
      <c r="B406" s="3" t="s">
        <v>33</v>
      </c>
      <c r="C406" s="3" t="s">
        <v>23</v>
      </c>
      <c r="D406" s="3" t="s">
        <v>39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105.501</v>
      </c>
      <c r="M406" s="4">
        <v>105.501</v>
      </c>
      <c r="N406" s="4">
        <v>105.501</v>
      </c>
      <c r="O406" s="4">
        <v>105.501</v>
      </c>
      <c r="P406" s="4">
        <v>126</v>
      </c>
      <c r="Q406" s="3" t="s">
        <v>26</v>
      </c>
      <c r="R406" s="3">
        <v>0</v>
      </c>
      <c r="S406" s="4">
        <v>0</v>
      </c>
      <c r="T406" s="4">
        <v>26</v>
      </c>
      <c r="U406" s="4">
        <v>81</v>
      </c>
      <c r="V406" s="4">
        <f>IF(ISERROR(VLOOKUP($S$406,'TAR FIN'!$A$1:$O$85,15,0)),0,VLOOKUP($S$406,'TAR FIN'!$A$1:$O$85,15,0))</f>
        <v>0</v>
      </c>
      <c r="W406" s="4">
        <f>IF(ISERROR(VLOOKUP($T$406,'TAR FIN'!$A$1:$O$85,15,0)),0,VLOOKUP($T$406,'TAR FIN'!$A$1:$O$85,15,0))</f>
        <v>367.75</v>
      </c>
      <c r="X406" s="4">
        <f>IF(ISERROR(VLOOKUP($U$406,'TAR FIN'!$A$1:$O$85,15,0)),0,VLOOKUP($U$406,'TAR FIN'!$A$1:$O$85,15,0))</f>
        <v>267.91000000000003</v>
      </c>
      <c r="Y406" s="4"/>
      <c r="Z406" s="4">
        <f ca="1">('TUSD BE'!$AM$48+'TUSD BF'!$AM$48+'TUSD CVA'!$AM$48)*1</f>
        <v>437.60278231454038</v>
      </c>
      <c r="AA406" s="4">
        <f>('TE BE'!$AB$38+'TE BF'!$AB$38+'TE CVA'!$AB$38)*1</f>
        <v>185.42082399535556</v>
      </c>
      <c r="AB406" s="4">
        <f>$K$406*$V$406</f>
        <v>0</v>
      </c>
      <c r="AC406" s="4">
        <f>$M$406*$W$406</f>
        <v>38797.992750000005</v>
      </c>
      <c r="AD406" s="4">
        <f>$O$406*$X$406</f>
        <v>28264.772910000003</v>
      </c>
      <c r="AE406" s="4">
        <f>$K$406*$Y$406</f>
        <v>0</v>
      </c>
      <c r="AF406" s="4">
        <f ca="1">$M$406*$Z$406</f>
        <v>46167.531136966325</v>
      </c>
      <c r="AG406" s="4">
        <f>$O$406*$AA$406</f>
        <v>19562.082352334008</v>
      </c>
    </row>
    <row r="407" spans="1:33" ht="11.25" customHeight="1" x14ac:dyDescent="0.25">
      <c r="A407" s="3" t="s">
        <v>28</v>
      </c>
      <c r="B407" s="3" t="s">
        <v>33</v>
      </c>
      <c r="C407" s="3" t="s">
        <v>23</v>
      </c>
      <c r="D407" s="3" t="s">
        <v>39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44713</v>
      </c>
      <c r="J407" s="4">
        <v>0</v>
      </c>
      <c r="K407" s="4">
        <v>0</v>
      </c>
      <c r="L407" s="4">
        <v>6.1449999999999996</v>
      </c>
      <c r="M407" s="4">
        <v>6.1449999999999996</v>
      </c>
      <c r="N407" s="4">
        <v>6.1449999999999996</v>
      </c>
      <c r="O407" s="4">
        <v>6.1449999999999996</v>
      </c>
      <c r="P407" s="4">
        <v>10</v>
      </c>
      <c r="Q407" s="3" t="s">
        <v>26</v>
      </c>
      <c r="R407" s="3">
        <v>0</v>
      </c>
      <c r="S407" s="4">
        <v>0</v>
      </c>
      <c r="T407" s="4">
        <v>26</v>
      </c>
      <c r="U407" s="4">
        <v>81</v>
      </c>
      <c r="V407" s="4">
        <f>IF(ISERROR(VLOOKUP($S$407,'TAR FIN'!$A$1:$O$85,15,0)),0,VLOOKUP($S$407,'TAR FIN'!$A$1:$O$85,15,0))</f>
        <v>0</v>
      </c>
      <c r="W407" s="4">
        <f>IF(ISERROR(VLOOKUP($T$407,'TAR FIN'!$A$1:$O$85,15,0)),0,VLOOKUP($T$407,'TAR FIN'!$A$1:$O$85,15,0))</f>
        <v>367.75</v>
      </c>
      <c r="X407" s="4">
        <f>IF(ISERROR(VLOOKUP($U$407,'TAR FIN'!$A$1:$O$85,15,0)),0,VLOOKUP($U$407,'TAR FIN'!$A$1:$O$85,15,0))</f>
        <v>267.91000000000003</v>
      </c>
      <c r="Y407" s="4"/>
      <c r="Z407" s="4">
        <f ca="1">('TUSD BE'!$AM$48+'TUSD BF'!$AM$48+'TUSD CVA'!$AM$48)*1</f>
        <v>437.60278231454038</v>
      </c>
      <c r="AA407" s="4">
        <f>('TE BE'!$AB$38+'TE BF'!$AB$38+'TE CVA'!$AB$38)*1</f>
        <v>185.42082399535556</v>
      </c>
      <c r="AB407" s="4">
        <f>$K$407*$V$407</f>
        <v>0</v>
      </c>
      <c r="AC407" s="4">
        <f>$M$407*$W$407</f>
        <v>2259.82375</v>
      </c>
      <c r="AD407" s="4">
        <f>$O$407*$X$407</f>
        <v>1646.3069500000001</v>
      </c>
      <c r="AE407" s="4">
        <f>$K$407*$Y$407</f>
        <v>0</v>
      </c>
      <c r="AF407" s="4">
        <f ca="1">$M$407*$Z$407</f>
        <v>2689.0690973228502</v>
      </c>
      <c r="AG407" s="4">
        <f>$O$407*$AA$407</f>
        <v>1139.4109634514598</v>
      </c>
    </row>
    <row r="408" spans="1:33" ht="11.25" customHeight="1" x14ac:dyDescent="0.25">
      <c r="A408" s="3" t="s">
        <v>21</v>
      </c>
      <c r="B408" s="3" t="s">
        <v>33</v>
      </c>
      <c r="C408" s="3" t="s">
        <v>23</v>
      </c>
      <c r="D408" s="3" t="s">
        <v>39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44743</v>
      </c>
      <c r="J408" s="4">
        <v>0</v>
      </c>
      <c r="K408" s="4">
        <v>0</v>
      </c>
      <c r="L408" s="4">
        <v>107.13200000000001</v>
      </c>
      <c r="M408" s="4">
        <v>107.13200000000001</v>
      </c>
      <c r="N408" s="4">
        <v>107.13200000000001</v>
      </c>
      <c r="O408" s="4">
        <v>107.13200000000001</v>
      </c>
      <c r="P408" s="4">
        <v>125</v>
      </c>
      <c r="Q408" s="3" t="s">
        <v>26</v>
      </c>
      <c r="R408" s="3">
        <v>0</v>
      </c>
      <c r="S408" s="4">
        <v>0</v>
      </c>
      <c r="T408" s="4">
        <v>26</v>
      </c>
      <c r="U408" s="4">
        <v>81</v>
      </c>
      <c r="V408" s="4">
        <f>IF(ISERROR(VLOOKUP($S$408,'TAR FIN'!$A$1:$O$85,15,0)),0,VLOOKUP($S$408,'TAR FIN'!$A$1:$O$85,15,0))</f>
        <v>0</v>
      </c>
      <c r="W408" s="4">
        <f>IF(ISERROR(VLOOKUP($T$408,'TAR FIN'!$A$1:$O$85,15,0)),0,VLOOKUP($T$408,'TAR FIN'!$A$1:$O$85,15,0))</f>
        <v>367.75</v>
      </c>
      <c r="X408" s="4">
        <f>IF(ISERROR(VLOOKUP($U$408,'TAR FIN'!$A$1:$O$85,15,0)),0,VLOOKUP($U$408,'TAR FIN'!$A$1:$O$85,15,0))</f>
        <v>267.91000000000003</v>
      </c>
      <c r="Y408" s="4"/>
      <c r="Z408" s="4">
        <f ca="1">('TUSD BE'!$AM$48+'TUSD BF'!$AM$48+'TUSD CVA'!$AM$48)*1</f>
        <v>437.60278231454038</v>
      </c>
      <c r="AA408" s="4">
        <f>('TE BE'!$AB$38+'TE BF'!$AB$38+'TE CVA'!$AB$38)*1</f>
        <v>185.42082399535556</v>
      </c>
      <c r="AB408" s="4">
        <f>$K$408*$V$408</f>
        <v>0</v>
      </c>
      <c r="AC408" s="4">
        <f>$M$408*$W$408</f>
        <v>39397.793000000005</v>
      </c>
      <c r="AD408" s="4">
        <f>$O$408*$X$408</f>
        <v>28701.734120000005</v>
      </c>
      <c r="AE408" s="4">
        <f>$K$408*$Y$408</f>
        <v>0</v>
      </c>
      <c r="AF408" s="4">
        <f ca="1">$M$408*$Z$408</f>
        <v>46881.261274921344</v>
      </c>
      <c r="AG408" s="4">
        <f>$O$408*$AA$408</f>
        <v>19864.503716270432</v>
      </c>
    </row>
    <row r="409" spans="1:33" ht="11.25" customHeight="1" x14ac:dyDescent="0.25">
      <c r="A409" s="3" t="s">
        <v>28</v>
      </c>
      <c r="B409" s="3" t="s">
        <v>33</v>
      </c>
      <c r="C409" s="3" t="s">
        <v>23</v>
      </c>
      <c r="D409" s="3" t="s">
        <v>39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44743</v>
      </c>
      <c r="J409" s="4">
        <v>0</v>
      </c>
      <c r="K409" s="4">
        <v>0</v>
      </c>
      <c r="L409" s="4">
        <v>6.8979999999999997</v>
      </c>
      <c r="M409" s="4">
        <v>6.8979999999999997</v>
      </c>
      <c r="N409" s="4">
        <v>6.8979999999999997</v>
      </c>
      <c r="O409" s="4">
        <v>6.8979999999999997</v>
      </c>
      <c r="P409" s="4">
        <v>11</v>
      </c>
      <c r="Q409" s="3" t="s">
        <v>26</v>
      </c>
      <c r="R409" s="3">
        <v>0</v>
      </c>
      <c r="S409" s="4">
        <v>0</v>
      </c>
      <c r="T409" s="4">
        <v>26</v>
      </c>
      <c r="U409" s="4">
        <v>81</v>
      </c>
      <c r="V409" s="4">
        <f>IF(ISERROR(VLOOKUP($S$409,'TAR FIN'!$A$1:$O$85,15,0)),0,VLOOKUP($S$409,'TAR FIN'!$A$1:$O$85,15,0))</f>
        <v>0</v>
      </c>
      <c r="W409" s="4">
        <f>IF(ISERROR(VLOOKUP($T$409,'TAR FIN'!$A$1:$O$85,15,0)),0,VLOOKUP($T$409,'TAR FIN'!$A$1:$O$85,15,0))</f>
        <v>367.75</v>
      </c>
      <c r="X409" s="4">
        <f>IF(ISERROR(VLOOKUP($U$409,'TAR FIN'!$A$1:$O$85,15,0)),0,VLOOKUP($U$409,'TAR FIN'!$A$1:$O$85,15,0))</f>
        <v>267.91000000000003</v>
      </c>
      <c r="Y409" s="4"/>
      <c r="Z409" s="4">
        <f ca="1">('TUSD BE'!$AM$48+'TUSD BF'!$AM$48+'TUSD CVA'!$AM$48)*1</f>
        <v>437.60278231454038</v>
      </c>
      <c r="AA409" s="4">
        <f>('TE BE'!$AB$38+'TE BF'!$AB$38+'TE CVA'!$AB$38)*1</f>
        <v>185.42082399535556</v>
      </c>
      <c r="AB409" s="4">
        <f>$K$409*$V$409</f>
        <v>0</v>
      </c>
      <c r="AC409" s="4">
        <f>$M$409*$W$409</f>
        <v>2536.7394999999997</v>
      </c>
      <c r="AD409" s="4">
        <f>$O$409*$X$409</f>
        <v>1848.0431800000001</v>
      </c>
      <c r="AE409" s="4">
        <f>$K$409*$Y$409</f>
        <v>0</v>
      </c>
      <c r="AF409" s="4">
        <f ca="1">$M$409*$Z$409</f>
        <v>3018.5839924056995</v>
      </c>
      <c r="AG409" s="4">
        <f>$O$409*$AA$409</f>
        <v>1279.0328439199627</v>
      </c>
    </row>
    <row r="410" spans="1:33" ht="11.25" customHeight="1" x14ac:dyDescent="0.25">
      <c r="A410" s="3" t="s">
        <v>21</v>
      </c>
      <c r="B410" s="3" t="s">
        <v>33</v>
      </c>
      <c r="C410" s="3" t="s">
        <v>23</v>
      </c>
      <c r="D410" s="3" t="s">
        <v>39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44774</v>
      </c>
      <c r="J410" s="4">
        <v>0</v>
      </c>
      <c r="K410" s="4">
        <v>0</v>
      </c>
      <c r="L410" s="4">
        <v>153.51900000000001</v>
      </c>
      <c r="M410" s="4">
        <v>153.51900000000001</v>
      </c>
      <c r="N410" s="4">
        <v>153.51900000000001</v>
      </c>
      <c r="O410" s="4">
        <v>153.51900000000001</v>
      </c>
      <c r="P410" s="4">
        <v>126</v>
      </c>
      <c r="Q410" s="3" t="s">
        <v>26</v>
      </c>
      <c r="R410" s="3">
        <v>0</v>
      </c>
      <c r="S410" s="4">
        <v>0</v>
      </c>
      <c r="T410" s="4">
        <v>26</v>
      </c>
      <c r="U410" s="4">
        <v>81</v>
      </c>
      <c r="V410" s="4">
        <f>IF(ISERROR(VLOOKUP($S$410,'TAR FIN'!$A$1:$O$85,15,0)),0,VLOOKUP($S$410,'TAR FIN'!$A$1:$O$85,15,0))</f>
        <v>0</v>
      </c>
      <c r="W410" s="4">
        <f>IF(ISERROR(VLOOKUP($T$410,'TAR FIN'!$A$1:$O$85,15,0)),0,VLOOKUP($T$410,'TAR FIN'!$A$1:$O$85,15,0))</f>
        <v>367.75</v>
      </c>
      <c r="X410" s="4">
        <f>IF(ISERROR(VLOOKUP($U$410,'TAR FIN'!$A$1:$O$85,15,0)),0,VLOOKUP($U$410,'TAR FIN'!$A$1:$O$85,15,0))</f>
        <v>267.91000000000003</v>
      </c>
      <c r="Y410" s="4"/>
      <c r="Z410" s="4">
        <f ca="1">('TUSD BE'!$AM$48+'TUSD BF'!$AM$48+'TUSD CVA'!$AM$48)*1</f>
        <v>437.60278231454038</v>
      </c>
      <c r="AA410" s="4">
        <f>('TE BE'!$AB$38+'TE BF'!$AB$38+'TE CVA'!$AB$38)*1</f>
        <v>185.42082399535556</v>
      </c>
      <c r="AB410" s="4">
        <f>$K$410*$V$410</f>
        <v>0</v>
      </c>
      <c r="AC410" s="4">
        <f>$M$410*$W$410</f>
        <v>56456.612250000006</v>
      </c>
      <c r="AD410" s="4">
        <f>$O$410*$X$410</f>
        <v>41129.275290000005</v>
      </c>
      <c r="AE410" s="4">
        <f>$K$410*$Y$410</f>
        <v>0</v>
      </c>
      <c r="AF410" s="4">
        <f ca="1">$M$410*$Z$410</f>
        <v>67180.34153814592</v>
      </c>
      <c r="AG410" s="4">
        <f>$O$410*$AA$410</f>
        <v>28465.61947894299</v>
      </c>
    </row>
    <row r="411" spans="1:33" ht="11.25" customHeight="1" x14ac:dyDescent="0.25">
      <c r="A411" s="3" t="s">
        <v>28</v>
      </c>
      <c r="B411" s="3" t="s">
        <v>33</v>
      </c>
      <c r="C411" s="3" t="s">
        <v>23</v>
      </c>
      <c r="D411" s="3" t="s">
        <v>39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44774</v>
      </c>
      <c r="J411" s="4">
        <v>0</v>
      </c>
      <c r="K411" s="4">
        <v>0</v>
      </c>
      <c r="L411" s="4">
        <v>4.1189999999999998</v>
      </c>
      <c r="M411" s="4">
        <v>4.1189999999999998</v>
      </c>
      <c r="N411" s="4">
        <v>4.1189999999999998</v>
      </c>
      <c r="O411" s="4">
        <v>4.1189999999999998</v>
      </c>
      <c r="P411" s="4">
        <v>11</v>
      </c>
      <c r="Q411" s="3" t="s">
        <v>26</v>
      </c>
      <c r="R411" s="3">
        <v>0</v>
      </c>
      <c r="S411" s="4">
        <v>0</v>
      </c>
      <c r="T411" s="4">
        <v>26</v>
      </c>
      <c r="U411" s="4">
        <v>81</v>
      </c>
      <c r="V411" s="4">
        <f>IF(ISERROR(VLOOKUP($S$411,'TAR FIN'!$A$1:$O$85,15,0)),0,VLOOKUP($S$411,'TAR FIN'!$A$1:$O$85,15,0))</f>
        <v>0</v>
      </c>
      <c r="W411" s="4">
        <f>IF(ISERROR(VLOOKUP($T$411,'TAR FIN'!$A$1:$O$85,15,0)),0,VLOOKUP($T$411,'TAR FIN'!$A$1:$O$85,15,0))</f>
        <v>367.75</v>
      </c>
      <c r="X411" s="4">
        <f>IF(ISERROR(VLOOKUP($U$411,'TAR FIN'!$A$1:$O$85,15,0)),0,VLOOKUP($U$411,'TAR FIN'!$A$1:$O$85,15,0))</f>
        <v>267.91000000000003</v>
      </c>
      <c r="Y411" s="4"/>
      <c r="Z411" s="4">
        <f ca="1">('TUSD BE'!$AM$48+'TUSD BF'!$AM$48+'TUSD CVA'!$AM$48)*1</f>
        <v>437.60278231454038</v>
      </c>
      <c r="AA411" s="4">
        <f>('TE BE'!$AB$38+'TE BF'!$AB$38+'TE CVA'!$AB$38)*1</f>
        <v>185.42082399535556</v>
      </c>
      <c r="AB411" s="4">
        <f>$K$411*$V$411</f>
        <v>0</v>
      </c>
      <c r="AC411" s="4">
        <f>$M$411*$W$411</f>
        <v>1514.76225</v>
      </c>
      <c r="AD411" s="4">
        <f>$O$411*$X$411</f>
        <v>1103.5212900000001</v>
      </c>
      <c r="AE411" s="4">
        <f>$K$411*$Y$411</f>
        <v>0</v>
      </c>
      <c r="AF411" s="4">
        <f ca="1">$M$411*$Z$411</f>
        <v>1802.4858603535918</v>
      </c>
      <c r="AG411" s="4">
        <f>$O$411*$AA$411</f>
        <v>763.74837403686956</v>
      </c>
    </row>
    <row r="412" spans="1:33" ht="11.25" customHeight="1" x14ac:dyDescent="0.25">
      <c r="A412" s="3" t="s">
        <v>21</v>
      </c>
      <c r="B412" s="3" t="s">
        <v>33</v>
      </c>
      <c r="C412" s="3" t="s">
        <v>23</v>
      </c>
      <c r="D412" s="3" t="s">
        <v>49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44440</v>
      </c>
      <c r="J412" s="4">
        <v>0</v>
      </c>
      <c r="K412" s="4">
        <v>0</v>
      </c>
      <c r="L412" s="4">
        <v>0.1</v>
      </c>
      <c r="M412" s="4">
        <v>0.1</v>
      </c>
      <c r="N412" s="4">
        <v>0.1</v>
      </c>
      <c r="O412" s="4">
        <v>0.1</v>
      </c>
      <c r="P412" s="4">
        <v>1</v>
      </c>
      <c r="Q412" s="3" t="s">
        <v>26</v>
      </c>
      <c r="R412" s="3">
        <v>0</v>
      </c>
      <c r="S412" s="4">
        <v>0</v>
      </c>
      <c r="T412" s="4">
        <v>26</v>
      </c>
      <c r="U412" s="4">
        <v>81</v>
      </c>
      <c r="V412" s="4">
        <f>IF(ISERROR(VLOOKUP($S$412,'TAR FIN'!$A$1:$O$85,15,0)),0,VLOOKUP($S$412,'TAR FIN'!$A$1:$O$85,15,0))</f>
        <v>0</v>
      </c>
      <c r="W412" s="4">
        <f>IF(ISERROR(VLOOKUP($T$412,'TAR FIN'!$A$1:$O$85,15,0)),0,VLOOKUP($T$412,'TAR FIN'!$A$1:$O$85,15,0))</f>
        <v>367.75</v>
      </c>
      <c r="X412" s="4">
        <f>IF(ISERROR(VLOOKUP($U$412,'TAR FIN'!$A$1:$O$85,15,0)),0,VLOOKUP($U$412,'TAR FIN'!$A$1:$O$85,15,0))</f>
        <v>267.91000000000003</v>
      </c>
      <c r="Y412" s="4"/>
      <c r="Z412" s="4">
        <f ca="1">('TUSD BE'!$AM$48+'TUSD BF'!$AM$48+'TUSD CVA'!$AM$48)*1</f>
        <v>437.60278231454038</v>
      </c>
      <c r="AA412" s="4">
        <f>('TE BE'!$AB$38+'TE BF'!$AB$38+'TE CVA'!$AB$38)*1</f>
        <v>185.42082399535556</v>
      </c>
      <c r="AB412" s="4">
        <f>$K$412*$V$412</f>
        <v>0</v>
      </c>
      <c r="AC412" s="4">
        <f>$M$412*$W$412</f>
        <v>36.774999999999999</v>
      </c>
      <c r="AD412" s="4">
        <f>$O$412*$X$412</f>
        <v>26.791000000000004</v>
      </c>
      <c r="AE412" s="4">
        <f>$K$412*$Y$412</f>
        <v>0</v>
      </c>
      <c r="AF412" s="4">
        <f ca="1">$M$412*$Z$412</f>
        <v>43.760278231454038</v>
      </c>
      <c r="AG412" s="4">
        <f>$O$412*$AA$412</f>
        <v>18.542082399535555</v>
      </c>
    </row>
    <row r="413" spans="1:33" ht="11.25" customHeight="1" x14ac:dyDescent="0.25">
      <c r="A413" s="3" t="s">
        <v>28</v>
      </c>
      <c r="B413" s="3" t="s">
        <v>33</v>
      </c>
      <c r="C413" s="3" t="s">
        <v>23</v>
      </c>
      <c r="D413" s="3" t="s">
        <v>49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44440</v>
      </c>
      <c r="J413" s="4">
        <v>0</v>
      </c>
      <c r="K413" s="4">
        <v>0</v>
      </c>
      <c r="L413" s="4">
        <v>0.1</v>
      </c>
      <c r="M413" s="4">
        <v>0.1</v>
      </c>
      <c r="N413" s="4">
        <v>0.1</v>
      </c>
      <c r="O413" s="4">
        <v>0.1</v>
      </c>
      <c r="P413" s="4">
        <v>1</v>
      </c>
      <c r="Q413" s="3" t="s">
        <v>26</v>
      </c>
      <c r="R413" s="3">
        <v>0</v>
      </c>
      <c r="S413" s="4">
        <v>0</v>
      </c>
      <c r="T413" s="4">
        <v>26</v>
      </c>
      <c r="U413" s="4">
        <v>81</v>
      </c>
      <c r="V413" s="4">
        <f>IF(ISERROR(VLOOKUP($S$413,'TAR FIN'!$A$1:$O$85,15,0)),0,VLOOKUP($S$413,'TAR FIN'!$A$1:$O$85,15,0))</f>
        <v>0</v>
      </c>
      <c r="W413" s="4">
        <f>IF(ISERROR(VLOOKUP($T$413,'TAR FIN'!$A$1:$O$85,15,0)),0,VLOOKUP($T$413,'TAR FIN'!$A$1:$O$85,15,0))</f>
        <v>367.75</v>
      </c>
      <c r="X413" s="4">
        <f>IF(ISERROR(VLOOKUP($U$413,'TAR FIN'!$A$1:$O$85,15,0)),0,VLOOKUP($U$413,'TAR FIN'!$A$1:$O$85,15,0))</f>
        <v>267.91000000000003</v>
      </c>
      <c r="Y413" s="4"/>
      <c r="Z413" s="4">
        <f ca="1">('TUSD BE'!$AM$48+'TUSD BF'!$AM$48+'TUSD CVA'!$AM$48)*1</f>
        <v>437.60278231454038</v>
      </c>
      <c r="AA413" s="4">
        <f>('TE BE'!$AB$38+'TE BF'!$AB$38+'TE CVA'!$AB$38)*1</f>
        <v>185.42082399535556</v>
      </c>
      <c r="AB413" s="4">
        <f>$K$413*$V$413</f>
        <v>0</v>
      </c>
      <c r="AC413" s="4">
        <f>$M$413*$W$413</f>
        <v>36.774999999999999</v>
      </c>
      <c r="AD413" s="4">
        <f>$O$413*$X$413</f>
        <v>26.791000000000004</v>
      </c>
      <c r="AE413" s="4">
        <f>$K$413*$Y$413</f>
        <v>0</v>
      </c>
      <c r="AF413" s="4">
        <f ca="1">$M$413*$Z$413</f>
        <v>43.760278231454038</v>
      </c>
      <c r="AG413" s="4">
        <f>$O$413*$AA$413</f>
        <v>18.542082399535555</v>
      </c>
    </row>
    <row r="414" spans="1:33" ht="11.25" customHeight="1" x14ac:dyDescent="0.25">
      <c r="A414" s="3" t="s">
        <v>21</v>
      </c>
      <c r="B414" s="3" t="s">
        <v>33</v>
      </c>
      <c r="C414" s="3" t="s">
        <v>23</v>
      </c>
      <c r="D414" s="3" t="s">
        <v>49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44470</v>
      </c>
      <c r="J414" s="4">
        <v>0</v>
      </c>
      <c r="K414" s="4">
        <v>0</v>
      </c>
      <c r="L414" s="4">
        <v>0.1</v>
      </c>
      <c r="M414" s="4">
        <v>0.1</v>
      </c>
      <c r="N414" s="4">
        <v>0.1</v>
      </c>
      <c r="O414" s="4">
        <v>0.1</v>
      </c>
      <c r="P414" s="4">
        <v>1</v>
      </c>
      <c r="Q414" s="3" t="s">
        <v>26</v>
      </c>
      <c r="R414" s="3">
        <v>0</v>
      </c>
      <c r="S414" s="4">
        <v>0</v>
      </c>
      <c r="T414" s="4">
        <v>26</v>
      </c>
      <c r="U414" s="4">
        <v>81</v>
      </c>
      <c r="V414" s="4">
        <f>IF(ISERROR(VLOOKUP($S$414,'TAR FIN'!$A$1:$O$85,15,0)),0,VLOOKUP($S$414,'TAR FIN'!$A$1:$O$85,15,0))</f>
        <v>0</v>
      </c>
      <c r="W414" s="4">
        <f>IF(ISERROR(VLOOKUP($T$414,'TAR FIN'!$A$1:$O$85,15,0)),0,VLOOKUP($T$414,'TAR FIN'!$A$1:$O$85,15,0))</f>
        <v>367.75</v>
      </c>
      <c r="X414" s="4">
        <f>IF(ISERROR(VLOOKUP($U$414,'TAR FIN'!$A$1:$O$85,15,0)),0,VLOOKUP($U$414,'TAR FIN'!$A$1:$O$85,15,0))</f>
        <v>267.91000000000003</v>
      </c>
      <c r="Y414" s="4"/>
      <c r="Z414" s="4">
        <f ca="1">('TUSD BE'!$AM$48+'TUSD BF'!$AM$48+'TUSD CVA'!$AM$48)*1</f>
        <v>437.60278231454038</v>
      </c>
      <c r="AA414" s="4">
        <f>('TE BE'!$AB$38+'TE BF'!$AB$38+'TE CVA'!$AB$38)*1</f>
        <v>185.42082399535556</v>
      </c>
      <c r="AB414" s="4">
        <f>$K$414*$V$414</f>
        <v>0</v>
      </c>
      <c r="AC414" s="4">
        <f>$M$414*$W$414</f>
        <v>36.774999999999999</v>
      </c>
      <c r="AD414" s="4">
        <f>$O$414*$X$414</f>
        <v>26.791000000000004</v>
      </c>
      <c r="AE414" s="4">
        <f>$K$414*$Y$414</f>
        <v>0</v>
      </c>
      <c r="AF414" s="4">
        <f ca="1">$M$414*$Z$414</f>
        <v>43.760278231454038</v>
      </c>
      <c r="AG414" s="4">
        <f>$O$414*$AA$414</f>
        <v>18.542082399535555</v>
      </c>
    </row>
    <row r="415" spans="1:33" ht="11.25" customHeight="1" x14ac:dyDescent="0.25">
      <c r="A415" s="3" t="s">
        <v>28</v>
      </c>
      <c r="B415" s="3" t="s">
        <v>33</v>
      </c>
      <c r="C415" s="3" t="s">
        <v>23</v>
      </c>
      <c r="D415" s="3" t="s">
        <v>49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44470</v>
      </c>
      <c r="J415" s="4">
        <v>0</v>
      </c>
      <c r="K415" s="4">
        <v>0</v>
      </c>
      <c r="L415" s="4">
        <v>0.1</v>
      </c>
      <c r="M415" s="4">
        <v>0.1</v>
      </c>
      <c r="N415" s="4">
        <v>0.1</v>
      </c>
      <c r="O415" s="4">
        <v>0.1</v>
      </c>
      <c r="P415" s="4">
        <v>1</v>
      </c>
      <c r="Q415" s="3" t="s">
        <v>26</v>
      </c>
      <c r="R415" s="3">
        <v>0</v>
      </c>
      <c r="S415" s="4">
        <v>0</v>
      </c>
      <c r="T415" s="4">
        <v>26</v>
      </c>
      <c r="U415" s="4">
        <v>81</v>
      </c>
      <c r="V415" s="4">
        <f>IF(ISERROR(VLOOKUP($S$415,'TAR FIN'!$A$1:$O$85,15,0)),0,VLOOKUP($S$415,'TAR FIN'!$A$1:$O$85,15,0))</f>
        <v>0</v>
      </c>
      <c r="W415" s="4">
        <f>IF(ISERROR(VLOOKUP($T$415,'TAR FIN'!$A$1:$O$85,15,0)),0,VLOOKUP($T$415,'TAR FIN'!$A$1:$O$85,15,0))</f>
        <v>367.75</v>
      </c>
      <c r="X415" s="4">
        <f>IF(ISERROR(VLOOKUP($U$415,'TAR FIN'!$A$1:$O$85,15,0)),0,VLOOKUP($U$415,'TAR FIN'!$A$1:$O$85,15,0))</f>
        <v>267.91000000000003</v>
      </c>
      <c r="Y415" s="4"/>
      <c r="Z415" s="4">
        <f ca="1">('TUSD BE'!$AM$48+'TUSD BF'!$AM$48+'TUSD CVA'!$AM$48)*1</f>
        <v>437.60278231454038</v>
      </c>
      <c r="AA415" s="4">
        <f>('TE BE'!$AB$38+'TE BF'!$AB$38+'TE CVA'!$AB$38)*1</f>
        <v>185.42082399535556</v>
      </c>
      <c r="AB415" s="4">
        <f>$K$415*$V$415</f>
        <v>0</v>
      </c>
      <c r="AC415" s="4">
        <f>$M$415*$W$415</f>
        <v>36.774999999999999</v>
      </c>
      <c r="AD415" s="4">
        <f>$O$415*$X$415</f>
        <v>26.791000000000004</v>
      </c>
      <c r="AE415" s="4">
        <f>$K$415*$Y$415</f>
        <v>0</v>
      </c>
      <c r="AF415" s="4">
        <f ca="1">$M$415*$Z$415</f>
        <v>43.760278231454038</v>
      </c>
      <c r="AG415" s="4">
        <f>$O$415*$AA$415</f>
        <v>18.542082399535555</v>
      </c>
    </row>
    <row r="416" spans="1:33" ht="11.25" customHeight="1" x14ac:dyDescent="0.25">
      <c r="A416" s="3" t="s">
        <v>21</v>
      </c>
      <c r="B416" s="3" t="s">
        <v>33</v>
      </c>
      <c r="C416" s="3" t="s">
        <v>23</v>
      </c>
      <c r="D416" s="3" t="s">
        <v>49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44501</v>
      </c>
      <c r="J416" s="4">
        <v>0</v>
      </c>
      <c r="K416" s="4">
        <v>0</v>
      </c>
      <c r="L416" s="4">
        <v>0.1</v>
      </c>
      <c r="M416" s="4">
        <v>0.1</v>
      </c>
      <c r="N416" s="4">
        <v>0.1</v>
      </c>
      <c r="O416" s="4">
        <v>0.1</v>
      </c>
      <c r="P416" s="4">
        <v>1</v>
      </c>
      <c r="Q416" s="3" t="s">
        <v>26</v>
      </c>
      <c r="R416" s="3">
        <v>0</v>
      </c>
      <c r="S416" s="4">
        <v>0</v>
      </c>
      <c r="T416" s="4">
        <v>26</v>
      </c>
      <c r="U416" s="4">
        <v>81</v>
      </c>
      <c r="V416" s="4">
        <f>IF(ISERROR(VLOOKUP($S$416,'TAR FIN'!$A$1:$O$85,15,0)),0,VLOOKUP($S$416,'TAR FIN'!$A$1:$O$85,15,0))</f>
        <v>0</v>
      </c>
      <c r="W416" s="4">
        <f>IF(ISERROR(VLOOKUP($T$416,'TAR FIN'!$A$1:$O$85,15,0)),0,VLOOKUP($T$416,'TAR FIN'!$A$1:$O$85,15,0))</f>
        <v>367.75</v>
      </c>
      <c r="X416" s="4">
        <f>IF(ISERROR(VLOOKUP($U$416,'TAR FIN'!$A$1:$O$85,15,0)),0,VLOOKUP($U$416,'TAR FIN'!$A$1:$O$85,15,0))</f>
        <v>267.91000000000003</v>
      </c>
      <c r="Y416" s="4"/>
      <c r="Z416" s="4">
        <f ca="1">('TUSD BE'!$AM$48+'TUSD BF'!$AM$48+'TUSD CVA'!$AM$48)*1</f>
        <v>437.60278231454038</v>
      </c>
      <c r="AA416" s="4">
        <f>('TE BE'!$AB$38+'TE BF'!$AB$38+'TE CVA'!$AB$38)*1</f>
        <v>185.42082399535556</v>
      </c>
      <c r="AB416" s="4">
        <f>$K$416*$V$416</f>
        <v>0</v>
      </c>
      <c r="AC416" s="4">
        <f>$M$416*$W$416</f>
        <v>36.774999999999999</v>
      </c>
      <c r="AD416" s="4">
        <f>$O$416*$X$416</f>
        <v>26.791000000000004</v>
      </c>
      <c r="AE416" s="4">
        <f>$K$416*$Y$416</f>
        <v>0</v>
      </c>
      <c r="AF416" s="4">
        <f ca="1">$M$416*$Z$416</f>
        <v>43.760278231454038</v>
      </c>
      <c r="AG416" s="4">
        <f>$O$416*$AA$416</f>
        <v>18.542082399535555</v>
      </c>
    </row>
    <row r="417" spans="1:33" ht="11.25" customHeight="1" x14ac:dyDescent="0.25">
      <c r="A417" s="3" t="s">
        <v>28</v>
      </c>
      <c r="B417" s="3" t="s">
        <v>33</v>
      </c>
      <c r="C417" s="3" t="s">
        <v>23</v>
      </c>
      <c r="D417" s="3" t="s">
        <v>49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44501</v>
      </c>
      <c r="J417" s="4">
        <v>0</v>
      </c>
      <c r="K417" s="4">
        <v>0</v>
      </c>
      <c r="L417" s="4">
        <v>0.1</v>
      </c>
      <c r="M417" s="4">
        <v>0.1</v>
      </c>
      <c r="N417" s="4">
        <v>0.1</v>
      </c>
      <c r="O417" s="4">
        <v>0.1</v>
      </c>
      <c r="P417" s="4">
        <v>1</v>
      </c>
      <c r="Q417" s="3" t="s">
        <v>26</v>
      </c>
      <c r="R417" s="3">
        <v>0</v>
      </c>
      <c r="S417" s="4">
        <v>0</v>
      </c>
      <c r="T417" s="4">
        <v>26</v>
      </c>
      <c r="U417" s="4">
        <v>81</v>
      </c>
      <c r="V417" s="4">
        <f>IF(ISERROR(VLOOKUP($S$417,'TAR FIN'!$A$1:$O$85,15,0)),0,VLOOKUP($S$417,'TAR FIN'!$A$1:$O$85,15,0))</f>
        <v>0</v>
      </c>
      <c r="W417" s="4">
        <f>IF(ISERROR(VLOOKUP($T$417,'TAR FIN'!$A$1:$O$85,15,0)),0,VLOOKUP($T$417,'TAR FIN'!$A$1:$O$85,15,0))</f>
        <v>367.75</v>
      </c>
      <c r="X417" s="4">
        <f>IF(ISERROR(VLOOKUP($U$417,'TAR FIN'!$A$1:$O$85,15,0)),0,VLOOKUP($U$417,'TAR FIN'!$A$1:$O$85,15,0))</f>
        <v>267.91000000000003</v>
      </c>
      <c r="Y417" s="4"/>
      <c r="Z417" s="4">
        <f ca="1">('TUSD BE'!$AM$48+'TUSD BF'!$AM$48+'TUSD CVA'!$AM$48)*1</f>
        <v>437.60278231454038</v>
      </c>
      <c r="AA417" s="4">
        <f>('TE BE'!$AB$38+'TE BF'!$AB$38+'TE CVA'!$AB$38)*1</f>
        <v>185.42082399535556</v>
      </c>
      <c r="AB417" s="4">
        <f>$K$417*$V$417</f>
        <v>0</v>
      </c>
      <c r="AC417" s="4">
        <f>$M$417*$W$417</f>
        <v>36.774999999999999</v>
      </c>
      <c r="AD417" s="4">
        <f>$O$417*$X$417</f>
        <v>26.791000000000004</v>
      </c>
      <c r="AE417" s="4">
        <f>$K$417*$Y$417</f>
        <v>0</v>
      </c>
      <c r="AF417" s="4">
        <f ca="1">$M$417*$Z$417</f>
        <v>43.760278231454038</v>
      </c>
      <c r="AG417" s="4">
        <f>$O$417*$AA$417</f>
        <v>18.542082399535555</v>
      </c>
    </row>
    <row r="418" spans="1:33" ht="11.25" customHeight="1" x14ac:dyDescent="0.25">
      <c r="A418" s="3" t="s">
        <v>21</v>
      </c>
      <c r="B418" s="3" t="s">
        <v>33</v>
      </c>
      <c r="C418" s="3" t="s">
        <v>23</v>
      </c>
      <c r="D418" s="3" t="s">
        <v>49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44531</v>
      </c>
      <c r="J418" s="4">
        <v>0</v>
      </c>
      <c r="K418" s="4">
        <v>0</v>
      </c>
      <c r="L418" s="4">
        <v>0.1</v>
      </c>
      <c r="M418" s="4">
        <v>0.1</v>
      </c>
      <c r="N418" s="4">
        <v>0.1</v>
      </c>
      <c r="O418" s="4">
        <v>0.1</v>
      </c>
      <c r="P418" s="4">
        <v>1</v>
      </c>
      <c r="Q418" s="3" t="s">
        <v>26</v>
      </c>
      <c r="R418" s="3">
        <v>0</v>
      </c>
      <c r="S418" s="4">
        <v>0</v>
      </c>
      <c r="T418" s="4">
        <v>26</v>
      </c>
      <c r="U418" s="4">
        <v>81</v>
      </c>
      <c r="V418" s="4">
        <f>IF(ISERROR(VLOOKUP($S$418,'TAR FIN'!$A$1:$O$85,15,0)),0,VLOOKUP($S$418,'TAR FIN'!$A$1:$O$85,15,0))</f>
        <v>0</v>
      </c>
      <c r="W418" s="4">
        <f>IF(ISERROR(VLOOKUP($T$418,'TAR FIN'!$A$1:$O$85,15,0)),0,VLOOKUP($T$418,'TAR FIN'!$A$1:$O$85,15,0))</f>
        <v>367.75</v>
      </c>
      <c r="X418" s="4">
        <f>IF(ISERROR(VLOOKUP($U$418,'TAR FIN'!$A$1:$O$85,15,0)),0,VLOOKUP($U$418,'TAR FIN'!$A$1:$O$85,15,0))</f>
        <v>267.91000000000003</v>
      </c>
      <c r="Y418" s="4"/>
      <c r="Z418" s="4">
        <f ca="1">('TUSD BE'!$AM$48+'TUSD BF'!$AM$48+'TUSD CVA'!$AM$48)*1</f>
        <v>437.60278231454038</v>
      </c>
      <c r="AA418" s="4">
        <f>('TE BE'!$AB$38+'TE BF'!$AB$38+'TE CVA'!$AB$38)*1</f>
        <v>185.42082399535556</v>
      </c>
      <c r="AB418" s="4">
        <f>$K$418*$V$418</f>
        <v>0</v>
      </c>
      <c r="AC418" s="4">
        <f>$M$418*$W$418</f>
        <v>36.774999999999999</v>
      </c>
      <c r="AD418" s="4">
        <f>$O$418*$X$418</f>
        <v>26.791000000000004</v>
      </c>
      <c r="AE418" s="4">
        <f>$K$418*$Y$418</f>
        <v>0</v>
      </c>
      <c r="AF418" s="4">
        <f ca="1">$M$418*$Z$418</f>
        <v>43.760278231454038</v>
      </c>
      <c r="AG418" s="4">
        <f>$O$418*$AA$418</f>
        <v>18.542082399535555</v>
      </c>
    </row>
    <row r="419" spans="1:33" ht="11.25" customHeight="1" x14ac:dyDescent="0.25">
      <c r="A419" s="3" t="s">
        <v>28</v>
      </c>
      <c r="B419" s="3" t="s">
        <v>33</v>
      </c>
      <c r="C419" s="3" t="s">
        <v>23</v>
      </c>
      <c r="D419" s="3" t="s">
        <v>49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44531</v>
      </c>
      <c r="J419" s="4">
        <v>0</v>
      </c>
      <c r="K419" s="4">
        <v>0</v>
      </c>
      <c r="L419" s="4">
        <v>0.1</v>
      </c>
      <c r="M419" s="4">
        <v>0.1</v>
      </c>
      <c r="N419" s="4">
        <v>0.1</v>
      </c>
      <c r="O419" s="4">
        <v>0.1</v>
      </c>
      <c r="P419" s="4">
        <v>1</v>
      </c>
      <c r="Q419" s="3" t="s">
        <v>26</v>
      </c>
      <c r="R419" s="3">
        <v>0</v>
      </c>
      <c r="S419" s="4">
        <v>0</v>
      </c>
      <c r="T419" s="4">
        <v>26</v>
      </c>
      <c r="U419" s="4">
        <v>81</v>
      </c>
      <c r="V419" s="4">
        <f>IF(ISERROR(VLOOKUP($S$419,'TAR FIN'!$A$1:$O$85,15,0)),0,VLOOKUP($S$419,'TAR FIN'!$A$1:$O$85,15,0))</f>
        <v>0</v>
      </c>
      <c r="W419" s="4">
        <f>IF(ISERROR(VLOOKUP($T$419,'TAR FIN'!$A$1:$O$85,15,0)),0,VLOOKUP($T$419,'TAR FIN'!$A$1:$O$85,15,0))</f>
        <v>367.75</v>
      </c>
      <c r="X419" s="4">
        <f>IF(ISERROR(VLOOKUP($U$419,'TAR FIN'!$A$1:$O$85,15,0)),0,VLOOKUP($U$419,'TAR FIN'!$A$1:$O$85,15,0))</f>
        <v>267.91000000000003</v>
      </c>
      <c r="Y419" s="4"/>
      <c r="Z419" s="4">
        <f ca="1">('TUSD BE'!$AM$48+'TUSD BF'!$AM$48+'TUSD CVA'!$AM$48)*1</f>
        <v>437.60278231454038</v>
      </c>
      <c r="AA419" s="4">
        <f>('TE BE'!$AB$38+'TE BF'!$AB$38+'TE CVA'!$AB$38)*1</f>
        <v>185.42082399535556</v>
      </c>
      <c r="AB419" s="4">
        <f>$K$419*$V$419</f>
        <v>0</v>
      </c>
      <c r="AC419" s="4">
        <f>$M$419*$W$419</f>
        <v>36.774999999999999</v>
      </c>
      <c r="AD419" s="4">
        <f>$O$419*$X$419</f>
        <v>26.791000000000004</v>
      </c>
      <c r="AE419" s="4">
        <f>$K$419*$Y$419</f>
        <v>0</v>
      </c>
      <c r="AF419" s="4">
        <f ca="1">$M$419*$Z$419</f>
        <v>43.760278231454038</v>
      </c>
      <c r="AG419" s="4">
        <f>$O$419*$AA$419</f>
        <v>18.542082399535555</v>
      </c>
    </row>
    <row r="420" spans="1:33" ht="11.25" customHeight="1" x14ac:dyDescent="0.25">
      <c r="A420" s="3" t="s">
        <v>21</v>
      </c>
      <c r="B420" s="3" t="s">
        <v>33</v>
      </c>
      <c r="C420" s="3" t="s">
        <v>23</v>
      </c>
      <c r="D420" s="3" t="s">
        <v>49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44562</v>
      </c>
      <c r="J420" s="4">
        <v>0</v>
      </c>
      <c r="K420" s="4">
        <v>0</v>
      </c>
      <c r="L420" s="4">
        <v>0.1</v>
      </c>
      <c r="M420" s="4">
        <v>0.1</v>
      </c>
      <c r="N420" s="4">
        <v>0.1</v>
      </c>
      <c r="O420" s="4">
        <v>0.1</v>
      </c>
      <c r="P420" s="4">
        <v>1</v>
      </c>
      <c r="Q420" s="3" t="s">
        <v>26</v>
      </c>
      <c r="R420" s="3">
        <v>0</v>
      </c>
      <c r="S420" s="4">
        <v>0</v>
      </c>
      <c r="T420" s="4">
        <v>26</v>
      </c>
      <c r="U420" s="4">
        <v>81</v>
      </c>
      <c r="V420" s="4">
        <f>IF(ISERROR(VLOOKUP($S$420,'TAR FIN'!$A$1:$O$85,15,0)),0,VLOOKUP($S$420,'TAR FIN'!$A$1:$O$85,15,0))</f>
        <v>0</v>
      </c>
      <c r="W420" s="4">
        <f>IF(ISERROR(VLOOKUP($T$420,'TAR FIN'!$A$1:$O$85,15,0)),0,VLOOKUP($T$420,'TAR FIN'!$A$1:$O$85,15,0))</f>
        <v>367.75</v>
      </c>
      <c r="X420" s="4">
        <f>IF(ISERROR(VLOOKUP($U$420,'TAR FIN'!$A$1:$O$85,15,0)),0,VLOOKUP($U$420,'TAR FIN'!$A$1:$O$85,15,0))</f>
        <v>267.91000000000003</v>
      </c>
      <c r="Y420" s="4"/>
      <c r="Z420" s="4">
        <f ca="1">('TUSD BE'!$AM$48+'TUSD BF'!$AM$48+'TUSD CVA'!$AM$48)*1</f>
        <v>437.60278231454038</v>
      </c>
      <c r="AA420" s="4">
        <f>('TE BE'!$AB$38+'TE BF'!$AB$38+'TE CVA'!$AB$38)*1</f>
        <v>185.42082399535556</v>
      </c>
      <c r="AB420" s="4">
        <f>$K$420*$V$420</f>
        <v>0</v>
      </c>
      <c r="AC420" s="4">
        <f>$M$420*$W$420</f>
        <v>36.774999999999999</v>
      </c>
      <c r="AD420" s="4">
        <f>$O$420*$X$420</f>
        <v>26.791000000000004</v>
      </c>
      <c r="AE420" s="4">
        <f>$K$420*$Y$420</f>
        <v>0</v>
      </c>
      <c r="AF420" s="4">
        <f ca="1">$M$420*$Z$420</f>
        <v>43.760278231454038</v>
      </c>
      <c r="AG420" s="4">
        <f>$O$420*$AA$420</f>
        <v>18.542082399535555</v>
      </c>
    </row>
    <row r="421" spans="1:33" ht="11.25" customHeight="1" x14ac:dyDescent="0.25">
      <c r="A421" s="3" t="s">
        <v>28</v>
      </c>
      <c r="B421" s="3" t="s">
        <v>33</v>
      </c>
      <c r="C421" s="3" t="s">
        <v>23</v>
      </c>
      <c r="D421" s="3" t="s">
        <v>49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44562</v>
      </c>
      <c r="J421" s="4">
        <v>0</v>
      </c>
      <c r="K421" s="4">
        <v>0</v>
      </c>
      <c r="L421" s="4">
        <v>0.1</v>
      </c>
      <c r="M421" s="4">
        <v>0.1</v>
      </c>
      <c r="N421" s="4">
        <v>0.1</v>
      </c>
      <c r="O421" s="4">
        <v>0.1</v>
      </c>
      <c r="P421" s="4">
        <v>1</v>
      </c>
      <c r="Q421" s="3" t="s">
        <v>26</v>
      </c>
      <c r="R421" s="3">
        <v>0</v>
      </c>
      <c r="S421" s="4">
        <v>0</v>
      </c>
      <c r="T421" s="4">
        <v>26</v>
      </c>
      <c r="U421" s="4">
        <v>81</v>
      </c>
      <c r="V421" s="4">
        <f>IF(ISERROR(VLOOKUP($S$421,'TAR FIN'!$A$1:$O$85,15,0)),0,VLOOKUP($S$421,'TAR FIN'!$A$1:$O$85,15,0))</f>
        <v>0</v>
      </c>
      <c r="W421" s="4">
        <f>IF(ISERROR(VLOOKUP($T$421,'TAR FIN'!$A$1:$O$85,15,0)),0,VLOOKUP($T$421,'TAR FIN'!$A$1:$O$85,15,0))</f>
        <v>367.75</v>
      </c>
      <c r="X421" s="4">
        <f>IF(ISERROR(VLOOKUP($U$421,'TAR FIN'!$A$1:$O$85,15,0)),0,VLOOKUP($U$421,'TAR FIN'!$A$1:$O$85,15,0))</f>
        <v>267.91000000000003</v>
      </c>
      <c r="Y421" s="4"/>
      <c r="Z421" s="4">
        <f ca="1">('TUSD BE'!$AM$48+'TUSD BF'!$AM$48+'TUSD CVA'!$AM$48)*1</f>
        <v>437.60278231454038</v>
      </c>
      <c r="AA421" s="4">
        <f>('TE BE'!$AB$38+'TE BF'!$AB$38+'TE CVA'!$AB$38)*1</f>
        <v>185.42082399535556</v>
      </c>
      <c r="AB421" s="4">
        <f>$K$421*$V$421</f>
        <v>0</v>
      </c>
      <c r="AC421" s="4">
        <f>$M$421*$W$421</f>
        <v>36.774999999999999</v>
      </c>
      <c r="AD421" s="4">
        <f>$O$421*$X$421</f>
        <v>26.791000000000004</v>
      </c>
      <c r="AE421" s="4">
        <f>$K$421*$Y$421</f>
        <v>0</v>
      </c>
      <c r="AF421" s="4">
        <f ca="1">$M$421*$Z$421</f>
        <v>43.760278231454038</v>
      </c>
      <c r="AG421" s="4">
        <f>$O$421*$AA$421</f>
        <v>18.542082399535555</v>
      </c>
    </row>
    <row r="422" spans="1:33" ht="11.25" customHeight="1" x14ac:dyDescent="0.25">
      <c r="A422" s="3" t="s">
        <v>21</v>
      </c>
      <c r="B422" s="3" t="s">
        <v>33</v>
      </c>
      <c r="C422" s="3" t="s">
        <v>23</v>
      </c>
      <c r="D422" s="3" t="s">
        <v>49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44593</v>
      </c>
      <c r="J422" s="4">
        <v>0</v>
      </c>
      <c r="K422" s="4">
        <v>0</v>
      </c>
      <c r="L422" s="4">
        <v>0.1</v>
      </c>
      <c r="M422" s="4">
        <v>0.1</v>
      </c>
      <c r="N422" s="4">
        <v>0.1</v>
      </c>
      <c r="O422" s="4">
        <v>0.1</v>
      </c>
      <c r="P422" s="4">
        <v>1</v>
      </c>
      <c r="Q422" s="3" t="s">
        <v>26</v>
      </c>
      <c r="R422" s="3">
        <v>0</v>
      </c>
      <c r="S422" s="4">
        <v>0</v>
      </c>
      <c r="T422" s="4">
        <v>26</v>
      </c>
      <c r="U422" s="4">
        <v>81</v>
      </c>
      <c r="V422" s="4">
        <f>IF(ISERROR(VLOOKUP($S$422,'TAR FIN'!$A$1:$O$85,15,0)),0,VLOOKUP($S$422,'TAR FIN'!$A$1:$O$85,15,0))</f>
        <v>0</v>
      </c>
      <c r="W422" s="4">
        <f>IF(ISERROR(VLOOKUP($T$422,'TAR FIN'!$A$1:$O$85,15,0)),0,VLOOKUP($T$422,'TAR FIN'!$A$1:$O$85,15,0))</f>
        <v>367.75</v>
      </c>
      <c r="X422" s="4">
        <f>IF(ISERROR(VLOOKUP($U$422,'TAR FIN'!$A$1:$O$85,15,0)),0,VLOOKUP($U$422,'TAR FIN'!$A$1:$O$85,15,0))</f>
        <v>267.91000000000003</v>
      </c>
      <c r="Y422" s="4"/>
      <c r="Z422" s="4">
        <f ca="1">('TUSD BE'!$AM$48+'TUSD BF'!$AM$48+'TUSD CVA'!$AM$48)*1</f>
        <v>437.60278231454038</v>
      </c>
      <c r="AA422" s="4">
        <f>('TE BE'!$AB$38+'TE BF'!$AB$38+'TE CVA'!$AB$38)*1</f>
        <v>185.42082399535556</v>
      </c>
      <c r="AB422" s="4">
        <f>$K$422*$V$422</f>
        <v>0</v>
      </c>
      <c r="AC422" s="4">
        <f>$M$422*$W$422</f>
        <v>36.774999999999999</v>
      </c>
      <c r="AD422" s="4">
        <f>$O$422*$X$422</f>
        <v>26.791000000000004</v>
      </c>
      <c r="AE422" s="4">
        <f>$K$422*$Y$422</f>
        <v>0</v>
      </c>
      <c r="AF422" s="4">
        <f ca="1">$M$422*$Z$422</f>
        <v>43.760278231454038</v>
      </c>
      <c r="AG422" s="4">
        <f>$O$422*$AA$422</f>
        <v>18.542082399535555</v>
      </c>
    </row>
    <row r="423" spans="1:33" ht="11.25" customHeight="1" x14ac:dyDescent="0.25">
      <c r="A423" s="3" t="s">
        <v>28</v>
      </c>
      <c r="B423" s="3" t="s">
        <v>33</v>
      </c>
      <c r="C423" s="3" t="s">
        <v>23</v>
      </c>
      <c r="D423" s="3" t="s">
        <v>49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44593</v>
      </c>
      <c r="J423" s="4">
        <v>0</v>
      </c>
      <c r="K423" s="4">
        <v>0</v>
      </c>
      <c r="L423" s="4">
        <v>0.1</v>
      </c>
      <c r="M423" s="4">
        <v>0.1</v>
      </c>
      <c r="N423" s="4">
        <v>0.1</v>
      </c>
      <c r="O423" s="4">
        <v>0.1</v>
      </c>
      <c r="P423" s="4">
        <v>1</v>
      </c>
      <c r="Q423" s="3" t="s">
        <v>26</v>
      </c>
      <c r="R423" s="3">
        <v>0</v>
      </c>
      <c r="S423" s="4">
        <v>0</v>
      </c>
      <c r="T423" s="4">
        <v>26</v>
      </c>
      <c r="U423" s="4">
        <v>81</v>
      </c>
      <c r="V423" s="4">
        <f>IF(ISERROR(VLOOKUP($S$423,'TAR FIN'!$A$1:$O$85,15,0)),0,VLOOKUP($S$423,'TAR FIN'!$A$1:$O$85,15,0))</f>
        <v>0</v>
      </c>
      <c r="W423" s="4">
        <f>IF(ISERROR(VLOOKUP($T$423,'TAR FIN'!$A$1:$O$85,15,0)),0,VLOOKUP($T$423,'TAR FIN'!$A$1:$O$85,15,0))</f>
        <v>367.75</v>
      </c>
      <c r="X423" s="4">
        <f>IF(ISERROR(VLOOKUP($U$423,'TAR FIN'!$A$1:$O$85,15,0)),0,VLOOKUP($U$423,'TAR FIN'!$A$1:$O$85,15,0))</f>
        <v>267.91000000000003</v>
      </c>
      <c r="Y423" s="4"/>
      <c r="Z423" s="4">
        <f ca="1">('TUSD BE'!$AM$48+'TUSD BF'!$AM$48+'TUSD CVA'!$AM$48)*1</f>
        <v>437.60278231454038</v>
      </c>
      <c r="AA423" s="4">
        <f>('TE BE'!$AB$38+'TE BF'!$AB$38+'TE CVA'!$AB$38)*1</f>
        <v>185.42082399535556</v>
      </c>
      <c r="AB423" s="4">
        <f>$K$423*$V$423</f>
        <v>0</v>
      </c>
      <c r="AC423" s="4">
        <f>$M$423*$W$423</f>
        <v>36.774999999999999</v>
      </c>
      <c r="AD423" s="4">
        <f>$O$423*$X$423</f>
        <v>26.791000000000004</v>
      </c>
      <c r="AE423" s="4">
        <f>$K$423*$Y$423</f>
        <v>0</v>
      </c>
      <c r="AF423" s="4">
        <f ca="1">$M$423*$Z$423</f>
        <v>43.760278231454038</v>
      </c>
      <c r="AG423" s="4">
        <f>$O$423*$AA$423</f>
        <v>18.542082399535555</v>
      </c>
    </row>
    <row r="424" spans="1:33" ht="11.25" customHeight="1" x14ac:dyDescent="0.25">
      <c r="A424" s="3" t="s">
        <v>21</v>
      </c>
      <c r="B424" s="3" t="s">
        <v>33</v>
      </c>
      <c r="C424" s="3" t="s">
        <v>23</v>
      </c>
      <c r="D424" s="3" t="s">
        <v>49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44621</v>
      </c>
      <c r="J424" s="4">
        <v>0</v>
      </c>
      <c r="K424" s="4">
        <v>0</v>
      </c>
      <c r="L424" s="4">
        <v>0.1</v>
      </c>
      <c r="M424" s="4">
        <v>0.1</v>
      </c>
      <c r="N424" s="4">
        <v>0.1</v>
      </c>
      <c r="O424" s="4">
        <v>0.1</v>
      </c>
      <c r="P424" s="4">
        <v>1</v>
      </c>
      <c r="Q424" s="3" t="s">
        <v>26</v>
      </c>
      <c r="R424" s="3">
        <v>0</v>
      </c>
      <c r="S424" s="4">
        <v>0</v>
      </c>
      <c r="T424" s="4">
        <v>26</v>
      </c>
      <c r="U424" s="4">
        <v>81</v>
      </c>
      <c r="V424" s="4">
        <f>IF(ISERROR(VLOOKUP($S$424,'TAR FIN'!$A$1:$O$85,15,0)),0,VLOOKUP($S$424,'TAR FIN'!$A$1:$O$85,15,0))</f>
        <v>0</v>
      </c>
      <c r="W424" s="4">
        <f>IF(ISERROR(VLOOKUP($T$424,'TAR FIN'!$A$1:$O$85,15,0)),0,VLOOKUP($T$424,'TAR FIN'!$A$1:$O$85,15,0))</f>
        <v>367.75</v>
      </c>
      <c r="X424" s="4">
        <f>IF(ISERROR(VLOOKUP($U$424,'TAR FIN'!$A$1:$O$85,15,0)),0,VLOOKUP($U$424,'TAR FIN'!$A$1:$O$85,15,0))</f>
        <v>267.91000000000003</v>
      </c>
      <c r="Y424" s="4"/>
      <c r="Z424" s="4">
        <f ca="1">('TUSD BE'!$AM$48+'TUSD BF'!$AM$48+'TUSD CVA'!$AM$48)*1</f>
        <v>437.60278231454038</v>
      </c>
      <c r="AA424" s="4">
        <f>('TE BE'!$AB$38+'TE BF'!$AB$38+'TE CVA'!$AB$38)*1</f>
        <v>185.42082399535556</v>
      </c>
      <c r="AB424" s="4">
        <f>$K$424*$V$424</f>
        <v>0</v>
      </c>
      <c r="AC424" s="4">
        <f>$M$424*$W$424</f>
        <v>36.774999999999999</v>
      </c>
      <c r="AD424" s="4">
        <f>$O$424*$X$424</f>
        <v>26.791000000000004</v>
      </c>
      <c r="AE424" s="4">
        <f>$K$424*$Y$424</f>
        <v>0</v>
      </c>
      <c r="AF424" s="4">
        <f ca="1">$M$424*$Z$424</f>
        <v>43.760278231454038</v>
      </c>
      <c r="AG424" s="4">
        <f>$O$424*$AA$424</f>
        <v>18.542082399535555</v>
      </c>
    </row>
    <row r="425" spans="1:33" ht="11.25" customHeight="1" x14ac:dyDescent="0.25">
      <c r="A425" s="3" t="s">
        <v>28</v>
      </c>
      <c r="B425" s="3" t="s">
        <v>33</v>
      </c>
      <c r="C425" s="3" t="s">
        <v>23</v>
      </c>
      <c r="D425" s="3" t="s">
        <v>49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44621</v>
      </c>
      <c r="J425" s="4">
        <v>0</v>
      </c>
      <c r="K425" s="4">
        <v>0</v>
      </c>
      <c r="L425" s="4">
        <v>0.1</v>
      </c>
      <c r="M425" s="4">
        <v>0.1</v>
      </c>
      <c r="N425" s="4">
        <v>0.1</v>
      </c>
      <c r="O425" s="4">
        <v>0.1</v>
      </c>
      <c r="P425" s="4">
        <v>1</v>
      </c>
      <c r="Q425" s="3" t="s">
        <v>26</v>
      </c>
      <c r="R425" s="3">
        <v>0</v>
      </c>
      <c r="S425" s="4">
        <v>0</v>
      </c>
      <c r="T425" s="4">
        <v>26</v>
      </c>
      <c r="U425" s="4">
        <v>81</v>
      </c>
      <c r="V425" s="4">
        <f>IF(ISERROR(VLOOKUP($S$425,'TAR FIN'!$A$1:$O$85,15,0)),0,VLOOKUP($S$425,'TAR FIN'!$A$1:$O$85,15,0))</f>
        <v>0</v>
      </c>
      <c r="W425" s="4">
        <f>IF(ISERROR(VLOOKUP($T$425,'TAR FIN'!$A$1:$O$85,15,0)),0,VLOOKUP($T$425,'TAR FIN'!$A$1:$O$85,15,0))</f>
        <v>367.75</v>
      </c>
      <c r="X425" s="4">
        <f>IF(ISERROR(VLOOKUP($U$425,'TAR FIN'!$A$1:$O$85,15,0)),0,VLOOKUP($U$425,'TAR FIN'!$A$1:$O$85,15,0))</f>
        <v>267.91000000000003</v>
      </c>
      <c r="Y425" s="4"/>
      <c r="Z425" s="4">
        <f ca="1">('TUSD BE'!$AM$48+'TUSD BF'!$AM$48+'TUSD CVA'!$AM$48)*1</f>
        <v>437.60278231454038</v>
      </c>
      <c r="AA425" s="4">
        <f>('TE BE'!$AB$38+'TE BF'!$AB$38+'TE CVA'!$AB$38)*1</f>
        <v>185.42082399535556</v>
      </c>
      <c r="AB425" s="4">
        <f>$K$425*$V$425</f>
        <v>0</v>
      </c>
      <c r="AC425" s="4">
        <f>$M$425*$W$425</f>
        <v>36.774999999999999</v>
      </c>
      <c r="AD425" s="4">
        <f>$O$425*$X$425</f>
        <v>26.791000000000004</v>
      </c>
      <c r="AE425" s="4">
        <f>$K$425*$Y$425</f>
        <v>0</v>
      </c>
      <c r="AF425" s="4">
        <f ca="1">$M$425*$Z$425</f>
        <v>43.760278231454038</v>
      </c>
      <c r="AG425" s="4">
        <f>$O$425*$AA$425</f>
        <v>18.542082399535555</v>
      </c>
    </row>
    <row r="426" spans="1:33" ht="11.25" customHeight="1" x14ac:dyDescent="0.25">
      <c r="A426" s="3" t="s">
        <v>21</v>
      </c>
      <c r="B426" s="3" t="s">
        <v>33</v>
      </c>
      <c r="C426" s="3" t="s">
        <v>23</v>
      </c>
      <c r="D426" s="3" t="s">
        <v>49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44652</v>
      </c>
      <c r="J426" s="4">
        <v>0</v>
      </c>
      <c r="K426" s="4">
        <v>0</v>
      </c>
      <c r="L426" s="4">
        <v>0.1</v>
      </c>
      <c r="M426" s="4">
        <v>0.1</v>
      </c>
      <c r="N426" s="4">
        <v>0.1</v>
      </c>
      <c r="O426" s="4">
        <v>0.1</v>
      </c>
      <c r="P426" s="4">
        <v>1</v>
      </c>
      <c r="Q426" s="3" t="s">
        <v>26</v>
      </c>
      <c r="R426" s="3">
        <v>0</v>
      </c>
      <c r="S426" s="4">
        <v>0</v>
      </c>
      <c r="T426" s="4">
        <v>26</v>
      </c>
      <c r="U426" s="4">
        <v>81</v>
      </c>
      <c r="V426" s="4">
        <f>IF(ISERROR(VLOOKUP($S$426,'TAR FIN'!$A$1:$O$85,15,0)),0,VLOOKUP($S$426,'TAR FIN'!$A$1:$O$85,15,0))</f>
        <v>0</v>
      </c>
      <c r="W426" s="4">
        <f>IF(ISERROR(VLOOKUP($T$426,'TAR FIN'!$A$1:$O$85,15,0)),0,VLOOKUP($T$426,'TAR FIN'!$A$1:$O$85,15,0))</f>
        <v>367.75</v>
      </c>
      <c r="X426" s="4">
        <f>IF(ISERROR(VLOOKUP($U$426,'TAR FIN'!$A$1:$O$85,15,0)),0,VLOOKUP($U$426,'TAR FIN'!$A$1:$O$85,15,0))</f>
        <v>267.91000000000003</v>
      </c>
      <c r="Y426" s="4"/>
      <c r="Z426" s="4">
        <f ca="1">('TUSD BE'!$AM$48+'TUSD BF'!$AM$48+'TUSD CVA'!$AM$48)*1</f>
        <v>437.60278231454038</v>
      </c>
      <c r="AA426" s="4">
        <f>('TE BE'!$AB$38+'TE BF'!$AB$38+'TE CVA'!$AB$38)*1</f>
        <v>185.42082399535556</v>
      </c>
      <c r="AB426" s="4">
        <f>$K$426*$V$426</f>
        <v>0</v>
      </c>
      <c r="AC426" s="4">
        <f>$M$426*$W$426</f>
        <v>36.774999999999999</v>
      </c>
      <c r="AD426" s="4">
        <f>$O$426*$X$426</f>
        <v>26.791000000000004</v>
      </c>
      <c r="AE426" s="4">
        <f>$K$426*$Y$426</f>
        <v>0</v>
      </c>
      <c r="AF426" s="4">
        <f ca="1">$M$426*$Z$426</f>
        <v>43.760278231454038</v>
      </c>
      <c r="AG426" s="4">
        <f>$O$426*$AA$426</f>
        <v>18.542082399535555</v>
      </c>
    </row>
    <row r="427" spans="1:33" ht="11.25" customHeight="1" x14ac:dyDescent="0.25">
      <c r="A427" s="3" t="s">
        <v>28</v>
      </c>
      <c r="B427" s="3" t="s">
        <v>33</v>
      </c>
      <c r="C427" s="3" t="s">
        <v>23</v>
      </c>
      <c r="D427" s="3" t="s">
        <v>49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44652</v>
      </c>
      <c r="J427" s="4">
        <v>0</v>
      </c>
      <c r="K427" s="4">
        <v>0</v>
      </c>
      <c r="L427" s="4">
        <v>0.1</v>
      </c>
      <c r="M427" s="4">
        <v>0.1</v>
      </c>
      <c r="N427" s="4">
        <v>0.1</v>
      </c>
      <c r="O427" s="4">
        <v>0.1</v>
      </c>
      <c r="P427" s="4">
        <v>1</v>
      </c>
      <c r="Q427" s="3" t="s">
        <v>26</v>
      </c>
      <c r="R427" s="3">
        <v>0</v>
      </c>
      <c r="S427" s="4">
        <v>0</v>
      </c>
      <c r="T427" s="4">
        <v>26</v>
      </c>
      <c r="U427" s="4">
        <v>81</v>
      </c>
      <c r="V427" s="4">
        <f>IF(ISERROR(VLOOKUP($S$427,'TAR FIN'!$A$1:$O$85,15,0)),0,VLOOKUP($S$427,'TAR FIN'!$A$1:$O$85,15,0))</f>
        <v>0</v>
      </c>
      <c r="W427" s="4">
        <f>IF(ISERROR(VLOOKUP($T$427,'TAR FIN'!$A$1:$O$85,15,0)),0,VLOOKUP($T$427,'TAR FIN'!$A$1:$O$85,15,0))</f>
        <v>367.75</v>
      </c>
      <c r="X427" s="4">
        <f>IF(ISERROR(VLOOKUP($U$427,'TAR FIN'!$A$1:$O$85,15,0)),0,VLOOKUP($U$427,'TAR FIN'!$A$1:$O$85,15,0))</f>
        <v>267.91000000000003</v>
      </c>
      <c r="Y427" s="4"/>
      <c r="Z427" s="4">
        <f ca="1">('TUSD BE'!$AM$48+'TUSD BF'!$AM$48+'TUSD CVA'!$AM$48)*1</f>
        <v>437.60278231454038</v>
      </c>
      <c r="AA427" s="4">
        <f>('TE BE'!$AB$38+'TE BF'!$AB$38+'TE CVA'!$AB$38)*1</f>
        <v>185.42082399535556</v>
      </c>
      <c r="AB427" s="4">
        <f>$K$427*$V$427</f>
        <v>0</v>
      </c>
      <c r="AC427" s="4">
        <f>$M$427*$W$427</f>
        <v>36.774999999999999</v>
      </c>
      <c r="AD427" s="4">
        <f>$O$427*$X$427</f>
        <v>26.791000000000004</v>
      </c>
      <c r="AE427" s="4">
        <f>$K$427*$Y$427</f>
        <v>0</v>
      </c>
      <c r="AF427" s="4">
        <f ca="1">$M$427*$Z$427</f>
        <v>43.760278231454038</v>
      </c>
      <c r="AG427" s="4">
        <f>$O$427*$AA$427</f>
        <v>18.542082399535555</v>
      </c>
    </row>
    <row r="428" spans="1:33" ht="11.25" customHeight="1" x14ac:dyDescent="0.25">
      <c r="A428" s="3" t="s">
        <v>21</v>
      </c>
      <c r="B428" s="3" t="s">
        <v>33</v>
      </c>
      <c r="C428" s="3" t="s">
        <v>23</v>
      </c>
      <c r="D428" s="3" t="s">
        <v>49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44682</v>
      </c>
      <c r="J428" s="4">
        <v>0</v>
      </c>
      <c r="K428" s="4">
        <v>0</v>
      </c>
      <c r="L428" s="4">
        <v>0.1</v>
      </c>
      <c r="M428" s="4">
        <v>0.1</v>
      </c>
      <c r="N428" s="4">
        <v>0.1</v>
      </c>
      <c r="O428" s="4">
        <v>0.1</v>
      </c>
      <c r="P428" s="4">
        <v>1</v>
      </c>
      <c r="Q428" s="3" t="s">
        <v>26</v>
      </c>
      <c r="R428" s="3">
        <v>0</v>
      </c>
      <c r="S428" s="4">
        <v>0</v>
      </c>
      <c r="T428" s="4">
        <v>26</v>
      </c>
      <c r="U428" s="4">
        <v>81</v>
      </c>
      <c r="V428" s="4">
        <f>IF(ISERROR(VLOOKUP($S$428,'TAR FIN'!$A$1:$O$85,15,0)),0,VLOOKUP($S$428,'TAR FIN'!$A$1:$O$85,15,0))</f>
        <v>0</v>
      </c>
      <c r="W428" s="4">
        <f>IF(ISERROR(VLOOKUP($T$428,'TAR FIN'!$A$1:$O$85,15,0)),0,VLOOKUP($T$428,'TAR FIN'!$A$1:$O$85,15,0))</f>
        <v>367.75</v>
      </c>
      <c r="X428" s="4">
        <f>IF(ISERROR(VLOOKUP($U$428,'TAR FIN'!$A$1:$O$85,15,0)),0,VLOOKUP($U$428,'TAR FIN'!$A$1:$O$85,15,0))</f>
        <v>267.91000000000003</v>
      </c>
      <c r="Y428" s="4"/>
      <c r="Z428" s="4">
        <f ca="1">('TUSD BE'!$AM$48+'TUSD BF'!$AM$48+'TUSD CVA'!$AM$48)*1</f>
        <v>437.60278231454038</v>
      </c>
      <c r="AA428" s="4">
        <f>('TE BE'!$AB$38+'TE BF'!$AB$38+'TE CVA'!$AB$38)*1</f>
        <v>185.42082399535556</v>
      </c>
      <c r="AB428" s="4">
        <f>$K$428*$V$428</f>
        <v>0</v>
      </c>
      <c r="AC428" s="4">
        <f>$M$428*$W$428</f>
        <v>36.774999999999999</v>
      </c>
      <c r="AD428" s="4">
        <f>$O$428*$X$428</f>
        <v>26.791000000000004</v>
      </c>
      <c r="AE428" s="4">
        <f>$K$428*$Y$428</f>
        <v>0</v>
      </c>
      <c r="AF428" s="4">
        <f ca="1">$M$428*$Z$428</f>
        <v>43.760278231454038</v>
      </c>
      <c r="AG428" s="4">
        <f>$O$428*$AA$428</f>
        <v>18.542082399535555</v>
      </c>
    </row>
    <row r="429" spans="1:33" ht="11.25" customHeight="1" x14ac:dyDescent="0.25">
      <c r="A429" s="3" t="s">
        <v>28</v>
      </c>
      <c r="B429" s="3" t="s">
        <v>33</v>
      </c>
      <c r="C429" s="3" t="s">
        <v>23</v>
      </c>
      <c r="D429" s="3" t="s">
        <v>49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44682</v>
      </c>
      <c r="J429" s="4">
        <v>0</v>
      </c>
      <c r="K429" s="4">
        <v>0</v>
      </c>
      <c r="L429" s="4">
        <v>0.1</v>
      </c>
      <c r="M429" s="4">
        <v>0.1</v>
      </c>
      <c r="N429" s="4">
        <v>0.1</v>
      </c>
      <c r="O429" s="4">
        <v>0.1</v>
      </c>
      <c r="P429" s="4">
        <v>1</v>
      </c>
      <c r="Q429" s="3" t="s">
        <v>26</v>
      </c>
      <c r="R429" s="3">
        <v>0</v>
      </c>
      <c r="S429" s="4">
        <v>0</v>
      </c>
      <c r="T429" s="4">
        <v>26</v>
      </c>
      <c r="U429" s="4">
        <v>81</v>
      </c>
      <c r="V429" s="4">
        <f>IF(ISERROR(VLOOKUP($S$429,'TAR FIN'!$A$1:$O$85,15,0)),0,VLOOKUP($S$429,'TAR FIN'!$A$1:$O$85,15,0))</f>
        <v>0</v>
      </c>
      <c r="W429" s="4">
        <f>IF(ISERROR(VLOOKUP($T$429,'TAR FIN'!$A$1:$O$85,15,0)),0,VLOOKUP($T$429,'TAR FIN'!$A$1:$O$85,15,0))</f>
        <v>367.75</v>
      </c>
      <c r="X429" s="4">
        <f>IF(ISERROR(VLOOKUP($U$429,'TAR FIN'!$A$1:$O$85,15,0)),0,VLOOKUP($U$429,'TAR FIN'!$A$1:$O$85,15,0))</f>
        <v>267.91000000000003</v>
      </c>
      <c r="Y429" s="4"/>
      <c r="Z429" s="4">
        <f ca="1">('TUSD BE'!$AM$48+'TUSD BF'!$AM$48+'TUSD CVA'!$AM$48)*1</f>
        <v>437.60278231454038</v>
      </c>
      <c r="AA429" s="4">
        <f>('TE BE'!$AB$38+'TE BF'!$AB$38+'TE CVA'!$AB$38)*1</f>
        <v>185.42082399535556</v>
      </c>
      <c r="AB429" s="4">
        <f>$K$429*$V$429</f>
        <v>0</v>
      </c>
      <c r="AC429" s="4">
        <f>$M$429*$W$429</f>
        <v>36.774999999999999</v>
      </c>
      <c r="AD429" s="4">
        <f>$O$429*$X$429</f>
        <v>26.791000000000004</v>
      </c>
      <c r="AE429" s="4">
        <f>$K$429*$Y$429</f>
        <v>0</v>
      </c>
      <c r="AF429" s="4">
        <f ca="1">$M$429*$Z$429</f>
        <v>43.760278231454038</v>
      </c>
      <c r="AG429" s="4">
        <f>$O$429*$AA$429</f>
        <v>18.542082399535555</v>
      </c>
    </row>
    <row r="430" spans="1:33" ht="11.25" customHeight="1" x14ac:dyDescent="0.25">
      <c r="A430" s="3" t="s">
        <v>21</v>
      </c>
      <c r="B430" s="3" t="s">
        <v>33</v>
      </c>
      <c r="C430" s="3" t="s">
        <v>23</v>
      </c>
      <c r="D430" s="3" t="s">
        <v>49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44713</v>
      </c>
      <c r="J430" s="4">
        <v>0</v>
      </c>
      <c r="K430" s="4">
        <v>0</v>
      </c>
      <c r="L430" s="4">
        <v>0.1</v>
      </c>
      <c r="M430" s="4">
        <v>0.1</v>
      </c>
      <c r="N430" s="4">
        <v>0.1</v>
      </c>
      <c r="O430" s="4">
        <v>0.1</v>
      </c>
      <c r="P430" s="4">
        <v>1</v>
      </c>
      <c r="Q430" s="3" t="s">
        <v>26</v>
      </c>
      <c r="R430" s="3">
        <v>0</v>
      </c>
      <c r="S430" s="4">
        <v>0</v>
      </c>
      <c r="T430" s="4">
        <v>26</v>
      </c>
      <c r="U430" s="4">
        <v>81</v>
      </c>
      <c r="V430" s="4">
        <f>IF(ISERROR(VLOOKUP($S$430,'TAR FIN'!$A$1:$O$85,15,0)),0,VLOOKUP($S$430,'TAR FIN'!$A$1:$O$85,15,0))</f>
        <v>0</v>
      </c>
      <c r="W430" s="4">
        <f>IF(ISERROR(VLOOKUP($T$430,'TAR FIN'!$A$1:$O$85,15,0)),0,VLOOKUP($T$430,'TAR FIN'!$A$1:$O$85,15,0))</f>
        <v>367.75</v>
      </c>
      <c r="X430" s="4">
        <f>IF(ISERROR(VLOOKUP($U$430,'TAR FIN'!$A$1:$O$85,15,0)),0,VLOOKUP($U$430,'TAR FIN'!$A$1:$O$85,15,0))</f>
        <v>267.91000000000003</v>
      </c>
      <c r="Y430" s="4"/>
      <c r="Z430" s="4">
        <f ca="1">('TUSD BE'!$AM$48+'TUSD BF'!$AM$48+'TUSD CVA'!$AM$48)*1</f>
        <v>437.60278231454038</v>
      </c>
      <c r="AA430" s="4">
        <f>('TE BE'!$AB$38+'TE BF'!$AB$38+'TE CVA'!$AB$38)*1</f>
        <v>185.42082399535556</v>
      </c>
      <c r="AB430" s="4">
        <f>$K$430*$V$430</f>
        <v>0</v>
      </c>
      <c r="AC430" s="4">
        <f>$M$430*$W$430</f>
        <v>36.774999999999999</v>
      </c>
      <c r="AD430" s="4">
        <f>$O$430*$X$430</f>
        <v>26.791000000000004</v>
      </c>
      <c r="AE430" s="4">
        <f>$K$430*$Y$430</f>
        <v>0</v>
      </c>
      <c r="AF430" s="4">
        <f ca="1">$M$430*$Z$430</f>
        <v>43.760278231454038</v>
      </c>
      <c r="AG430" s="4">
        <f>$O$430*$AA$430</f>
        <v>18.542082399535555</v>
      </c>
    </row>
    <row r="431" spans="1:33" ht="11.25" customHeight="1" x14ac:dyDescent="0.25">
      <c r="A431" s="3" t="s">
        <v>28</v>
      </c>
      <c r="B431" s="3" t="s">
        <v>33</v>
      </c>
      <c r="C431" s="3" t="s">
        <v>23</v>
      </c>
      <c r="D431" s="3" t="s">
        <v>49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44713</v>
      </c>
      <c r="J431" s="4">
        <v>0</v>
      </c>
      <c r="K431" s="4">
        <v>0</v>
      </c>
      <c r="L431" s="4">
        <v>0.1</v>
      </c>
      <c r="M431" s="4">
        <v>0.1</v>
      </c>
      <c r="N431" s="4">
        <v>0.1</v>
      </c>
      <c r="O431" s="4">
        <v>0.1</v>
      </c>
      <c r="P431" s="4">
        <v>1</v>
      </c>
      <c r="Q431" s="3" t="s">
        <v>26</v>
      </c>
      <c r="R431" s="3">
        <v>0</v>
      </c>
      <c r="S431" s="4">
        <v>0</v>
      </c>
      <c r="T431" s="4">
        <v>26</v>
      </c>
      <c r="U431" s="4">
        <v>81</v>
      </c>
      <c r="V431" s="4">
        <f>IF(ISERROR(VLOOKUP($S$431,'TAR FIN'!$A$1:$O$85,15,0)),0,VLOOKUP($S$431,'TAR FIN'!$A$1:$O$85,15,0))</f>
        <v>0</v>
      </c>
      <c r="W431" s="4">
        <f>IF(ISERROR(VLOOKUP($T$431,'TAR FIN'!$A$1:$O$85,15,0)),0,VLOOKUP($T$431,'TAR FIN'!$A$1:$O$85,15,0))</f>
        <v>367.75</v>
      </c>
      <c r="X431" s="4">
        <f>IF(ISERROR(VLOOKUP($U$431,'TAR FIN'!$A$1:$O$85,15,0)),0,VLOOKUP($U$431,'TAR FIN'!$A$1:$O$85,15,0))</f>
        <v>267.91000000000003</v>
      </c>
      <c r="Y431" s="4"/>
      <c r="Z431" s="4">
        <f ca="1">('TUSD BE'!$AM$48+'TUSD BF'!$AM$48+'TUSD CVA'!$AM$48)*1</f>
        <v>437.60278231454038</v>
      </c>
      <c r="AA431" s="4">
        <f>('TE BE'!$AB$38+'TE BF'!$AB$38+'TE CVA'!$AB$38)*1</f>
        <v>185.42082399535556</v>
      </c>
      <c r="AB431" s="4">
        <f>$K$431*$V$431</f>
        <v>0</v>
      </c>
      <c r="AC431" s="4">
        <f>$M$431*$W$431</f>
        <v>36.774999999999999</v>
      </c>
      <c r="AD431" s="4">
        <f>$O$431*$X$431</f>
        <v>26.791000000000004</v>
      </c>
      <c r="AE431" s="4">
        <f>$K$431*$Y$431</f>
        <v>0</v>
      </c>
      <c r="AF431" s="4">
        <f ca="1">$M$431*$Z$431</f>
        <v>43.760278231454038</v>
      </c>
      <c r="AG431" s="4">
        <f>$O$431*$AA$431</f>
        <v>18.542082399535555</v>
      </c>
    </row>
    <row r="432" spans="1:33" ht="11.25" customHeight="1" x14ac:dyDescent="0.25">
      <c r="A432" s="3" t="s">
        <v>21</v>
      </c>
      <c r="B432" s="3" t="s">
        <v>33</v>
      </c>
      <c r="C432" s="3" t="s">
        <v>23</v>
      </c>
      <c r="D432" s="3" t="s">
        <v>49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44743</v>
      </c>
      <c r="J432" s="4">
        <v>0</v>
      </c>
      <c r="K432" s="4">
        <v>0</v>
      </c>
      <c r="L432" s="4">
        <v>0.1</v>
      </c>
      <c r="M432" s="4">
        <v>0.1</v>
      </c>
      <c r="N432" s="4">
        <v>0.1</v>
      </c>
      <c r="O432" s="4">
        <v>0.1</v>
      </c>
      <c r="P432" s="4">
        <v>1</v>
      </c>
      <c r="Q432" s="3" t="s">
        <v>26</v>
      </c>
      <c r="R432" s="3">
        <v>0</v>
      </c>
      <c r="S432" s="4">
        <v>0</v>
      </c>
      <c r="T432" s="4">
        <v>26</v>
      </c>
      <c r="U432" s="4">
        <v>81</v>
      </c>
      <c r="V432" s="4">
        <f>IF(ISERROR(VLOOKUP($S$432,'TAR FIN'!$A$1:$O$85,15,0)),0,VLOOKUP($S$432,'TAR FIN'!$A$1:$O$85,15,0))</f>
        <v>0</v>
      </c>
      <c r="W432" s="4">
        <f>IF(ISERROR(VLOOKUP($T$432,'TAR FIN'!$A$1:$O$85,15,0)),0,VLOOKUP($T$432,'TAR FIN'!$A$1:$O$85,15,0))</f>
        <v>367.75</v>
      </c>
      <c r="X432" s="4">
        <f>IF(ISERROR(VLOOKUP($U$432,'TAR FIN'!$A$1:$O$85,15,0)),0,VLOOKUP($U$432,'TAR FIN'!$A$1:$O$85,15,0))</f>
        <v>267.91000000000003</v>
      </c>
      <c r="Y432" s="4"/>
      <c r="Z432" s="4">
        <f ca="1">('TUSD BE'!$AM$48+'TUSD BF'!$AM$48+'TUSD CVA'!$AM$48)*1</f>
        <v>437.60278231454038</v>
      </c>
      <c r="AA432" s="4">
        <f>('TE BE'!$AB$38+'TE BF'!$AB$38+'TE CVA'!$AB$38)*1</f>
        <v>185.42082399535556</v>
      </c>
      <c r="AB432" s="4">
        <f>$K$432*$V$432</f>
        <v>0</v>
      </c>
      <c r="AC432" s="4">
        <f>$M$432*$W$432</f>
        <v>36.774999999999999</v>
      </c>
      <c r="AD432" s="4">
        <f>$O$432*$X$432</f>
        <v>26.791000000000004</v>
      </c>
      <c r="AE432" s="4">
        <f>$K$432*$Y$432</f>
        <v>0</v>
      </c>
      <c r="AF432" s="4">
        <f ca="1">$M$432*$Z$432</f>
        <v>43.760278231454038</v>
      </c>
      <c r="AG432" s="4">
        <f>$O$432*$AA$432</f>
        <v>18.542082399535555</v>
      </c>
    </row>
    <row r="433" spans="1:33" ht="11.25" customHeight="1" x14ac:dyDescent="0.25">
      <c r="A433" s="3" t="s">
        <v>28</v>
      </c>
      <c r="B433" s="3" t="s">
        <v>33</v>
      </c>
      <c r="C433" s="3" t="s">
        <v>23</v>
      </c>
      <c r="D433" s="3" t="s">
        <v>49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44743</v>
      </c>
      <c r="J433" s="4">
        <v>0</v>
      </c>
      <c r="K433" s="4">
        <v>0</v>
      </c>
      <c r="L433" s="4">
        <v>0.1</v>
      </c>
      <c r="M433" s="4">
        <v>0.1</v>
      </c>
      <c r="N433" s="4">
        <v>0.1</v>
      </c>
      <c r="O433" s="4">
        <v>0.1</v>
      </c>
      <c r="P433" s="4">
        <v>1</v>
      </c>
      <c r="Q433" s="3" t="s">
        <v>26</v>
      </c>
      <c r="R433" s="3">
        <v>0</v>
      </c>
      <c r="S433" s="4">
        <v>0</v>
      </c>
      <c r="T433" s="4">
        <v>26</v>
      </c>
      <c r="U433" s="4">
        <v>81</v>
      </c>
      <c r="V433" s="4">
        <f>IF(ISERROR(VLOOKUP($S$433,'TAR FIN'!$A$1:$O$85,15,0)),0,VLOOKUP($S$433,'TAR FIN'!$A$1:$O$85,15,0))</f>
        <v>0</v>
      </c>
      <c r="W433" s="4">
        <f>IF(ISERROR(VLOOKUP($T$433,'TAR FIN'!$A$1:$O$85,15,0)),0,VLOOKUP($T$433,'TAR FIN'!$A$1:$O$85,15,0))</f>
        <v>367.75</v>
      </c>
      <c r="X433" s="4">
        <f>IF(ISERROR(VLOOKUP($U$433,'TAR FIN'!$A$1:$O$85,15,0)),0,VLOOKUP($U$433,'TAR FIN'!$A$1:$O$85,15,0))</f>
        <v>267.91000000000003</v>
      </c>
      <c r="Y433" s="4"/>
      <c r="Z433" s="4">
        <f ca="1">('TUSD BE'!$AM$48+'TUSD BF'!$AM$48+'TUSD CVA'!$AM$48)*1</f>
        <v>437.60278231454038</v>
      </c>
      <c r="AA433" s="4">
        <f>('TE BE'!$AB$38+'TE BF'!$AB$38+'TE CVA'!$AB$38)*1</f>
        <v>185.42082399535556</v>
      </c>
      <c r="AB433" s="4">
        <f>$K$433*$V$433</f>
        <v>0</v>
      </c>
      <c r="AC433" s="4">
        <f>$M$433*$W$433</f>
        <v>36.774999999999999</v>
      </c>
      <c r="AD433" s="4">
        <f>$O$433*$X$433</f>
        <v>26.791000000000004</v>
      </c>
      <c r="AE433" s="4">
        <f>$K$433*$Y$433</f>
        <v>0</v>
      </c>
      <c r="AF433" s="4">
        <f ca="1">$M$433*$Z$433</f>
        <v>43.760278231454038</v>
      </c>
      <c r="AG433" s="4">
        <f>$O$433*$AA$433</f>
        <v>18.542082399535555</v>
      </c>
    </row>
    <row r="434" spans="1:33" ht="11.25" customHeight="1" x14ac:dyDescent="0.25">
      <c r="A434" s="3" t="s">
        <v>21</v>
      </c>
      <c r="B434" s="3" t="s">
        <v>33</v>
      </c>
      <c r="C434" s="3" t="s">
        <v>23</v>
      </c>
      <c r="D434" s="3" t="s">
        <v>49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44774</v>
      </c>
      <c r="J434" s="4">
        <v>0</v>
      </c>
      <c r="K434" s="4">
        <v>0</v>
      </c>
      <c r="L434" s="4">
        <v>0.1</v>
      </c>
      <c r="M434" s="4">
        <v>0.1</v>
      </c>
      <c r="N434" s="4">
        <v>0.1</v>
      </c>
      <c r="O434" s="4">
        <v>0.1</v>
      </c>
      <c r="P434" s="4">
        <v>1</v>
      </c>
      <c r="Q434" s="3" t="s">
        <v>26</v>
      </c>
      <c r="R434" s="3">
        <v>0</v>
      </c>
      <c r="S434" s="4">
        <v>0</v>
      </c>
      <c r="T434" s="4">
        <v>26</v>
      </c>
      <c r="U434" s="4">
        <v>81</v>
      </c>
      <c r="V434" s="4">
        <f>IF(ISERROR(VLOOKUP($S$434,'TAR FIN'!$A$1:$O$85,15,0)),0,VLOOKUP($S$434,'TAR FIN'!$A$1:$O$85,15,0))</f>
        <v>0</v>
      </c>
      <c r="W434" s="4">
        <f>IF(ISERROR(VLOOKUP($T$434,'TAR FIN'!$A$1:$O$85,15,0)),0,VLOOKUP($T$434,'TAR FIN'!$A$1:$O$85,15,0))</f>
        <v>367.75</v>
      </c>
      <c r="X434" s="4">
        <f>IF(ISERROR(VLOOKUP($U$434,'TAR FIN'!$A$1:$O$85,15,0)),0,VLOOKUP($U$434,'TAR FIN'!$A$1:$O$85,15,0))</f>
        <v>267.91000000000003</v>
      </c>
      <c r="Y434" s="4"/>
      <c r="Z434" s="4">
        <f ca="1">('TUSD BE'!$AM$48+'TUSD BF'!$AM$48+'TUSD CVA'!$AM$48)*1</f>
        <v>437.60278231454038</v>
      </c>
      <c r="AA434" s="4">
        <f>('TE BE'!$AB$38+'TE BF'!$AB$38+'TE CVA'!$AB$38)*1</f>
        <v>185.42082399535556</v>
      </c>
      <c r="AB434" s="4">
        <f>$K$434*$V$434</f>
        <v>0</v>
      </c>
      <c r="AC434" s="4">
        <f>$M$434*$W$434</f>
        <v>36.774999999999999</v>
      </c>
      <c r="AD434" s="4">
        <f>$O$434*$X$434</f>
        <v>26.791000000000004</v>
      </c>
      <c r="AE434" s="4">
        <f>$K$434*$Y$434</f>
        <v>0</v>
      </c>
      <c r="AF434" s="4">
        <f ca="1">$M$434*$Z$434</f>
        <v>43.760278231454038</v>
      </c>
      <c r="AG434" s="4">
        <f>$O$434*$AA$434</f>
        <v>18.542082399535555</v>
      </c>
    </row>
    <row r="435" spans="1:33" ht="11.25" customHeight="1" x14ac:dyDescent="0.25">
      <c r="A435" s="3" t="s">
        <v>28</v>
      </c>
      <c r="B435" s="3" t="s">
        <v>33</v>
      </c>
      <c r="C435" s="3" t="s">
        <v>23</v>
      </c>
      <c r="D435" s="3" t="s">
        <v>49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44774</v>
      </c>
      <c r="J435" s="4">
        <v>0</v>
      </c>
      <c r="K435" s="4">
        <v>0</v>
      </c>
      <c r="L435" s="4">
        <v>0.1</v>
      </c>
      <c r="M435" s="4">
        <v>0.1</v>
      </c>
      <c r="N435" s="4">
        <v>0.1</v>
      </c>
      <c r="O435" s="4">
        <v>0.1</v>
      </c>
      <c r="P435" s="4">
        <v>1</v>
      </c>
      <c r="Q435" s="3" t="s">
        <v>26</v>
      </c>
      <c r="R435" s="3">
        <v>0</v>
      </c>
      <c r="S435" s="4">
        <v>0</v>
      </c>
      <c r="T435" s="4">
        <v>26</v>
      </c>
      <c r="U435" s="4">
        <v>81</v>
      </c>
      <c r="V435" s="4">
        <f>IF(ISERROR(VLOOKUP($S$435,'TAR FIN'!$A$1:$O$85,15,0)),0,VLOOKUP($S$435,'TAR FIN'!$A$1:$O$85,15,0))</f>
        <v>0</v>
      </c>
      <c r="W435" s="4">
        <f>IF(ISERROR(VLOOKUP($T$435,'TAR FIN'!$A$1:$O$85,15,0)),0,VLOOKUP($T$435,'TAR FIN'!$A$1:$O$85,15,0))</f>
        <v>367.75</v>
      </c>
      <c r="X435" s="4">
        <f>IF(ISERROR(VLOOKUP($U$435,'TAR FIN'!$A$1:$O$85,15,0)),0,VLOOKUP($U$435,'TAR FIN'!$A$1:$O$85,15,0))</f>
        <v>267.91000000000003</v>
      </c>
      <c r="Y435" s="4"/>
      <c r="Z435" s="4">
        <f ca="1">('TUSD BE'!$AM$48+'TUSD BF'!$AM$48+'TUSD CVA'!$AM$48)*1</f>
        <v>437.60278231454038</v>
      </c>
      <c r="AA435" s="4">
        <f>('TE BE'!$AB$38+'TE BF'!$AB$38+'TE CVA'!$AB$38)*1</f>
        <v>185.42082399535556</v>
      </c>
      <c r="AB435" s="4">
        <f>$K$435*$V$435</f>
        <v>0</v>
      </c>
      <c r="AC435" s="4">
        <f>$M$435*$W$435</f>
        <v>36.774999999999999</v>
      </c>
      <c r="AD435" s="4">
        <f>$O$435*$X$435</f>
        <v>26.791000000000004</v>
      </c>
      <c r="AE435" s="4">
        <f>$K$435*$Y$435</f>
        <v>0</v>
      </c>
      <c r="AF435" s="4">
        <f ca="1">$M$435*$Z$435</f>
        <v>43.760278231454038</v>
      </c>
      <c r="AG435" s="4">
        <f>$O$435*$AA$435</f>
        <v>18.542082399535555</v>
      </c>
    </row>
    <row r="436" spans="1:33" ht="11.25" customHeight="1" x14ac:dyDescent="0.25">
      <c r="A436" s="3" t="s">
        <v>21</v>
      </c>
      <c r="B436" s="3" t="s">
        <v>33</v>
      </c>
      <c r="C436" s="3" t="s">
        <v>23</v>
      </c>
      <c r="D436" s="3" t="s">
        <v>34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44440</v>
      </c>
      <c r="J436" s="4">
        <v>0</v>
      </c>
      <c r="K436" s="4">
        <v>0</v>
      </c>
      <c r="L436" s="4">
        <v>136.107</v>
      </c>
      <c r="M436" s="4">
        <v>136.107</v>
      </c>
      <c r="N436" s="4">
        <v>136.107</v>
      </c>
      <c r="O436" s="4">
        <v>136.107</v>
      </c>
      <c r="P436" s="4">
        <v>20</v>
      </c>
      <c r="Q436" s="3" t="s">
        <v>26</v>
      </c>
      <c r="R436" s="3">
        <v>0</v>
      </c>
      <c r="S436" s="4">
        <v>0</v>
      </c>
      <c r="T436" s="4">
        <v>26</v>
      </c>
      <c r="U436" s="4">
        <v>81</v>
      </c>
      <c r="V436" s="4">
        <f>IF(ISERROR(VLOOKUP($S$436,'TAR FIN'!$A$1:$O$85,15,0)),0,VLOOKUP($S$436,'TAR FIN'!$A$1:$O$85,15,0))</f>
        <v>0</v>
      </c>
      <c r="W436" s="4">
        <f>IF(ISERROR(VLOOKUP($T$436,'TAR FIN'!$A$1:$O$85,15,0)),0,VLOOKUP($T$436,'TAR FIN'!$A$1:$O$85,15,0))</f>
        <v>367.75</v>
      </c>
      <c r="X436" s="4">
        <f>IF(ISERROR(VLOOKUP($U$436,'TAR FIN'!$A$1:$O$85,15,0)),0,VLOOKUP($U$436,'TAR FIN'!$A$1:$O$85,15,0))</f>
        <v>267.91000000000003</v>
      </c>
      <c r="Y436" s="4"/>
      <c r="Z436" s="4">
        <f ca="1">('TUSD BE'!$AM$48+'TUSD BF'!$AM$48+'TUSD CVA'!$AM$48)*1</f>
        <v>437.60278231454038</v>
      </c>
      <c r="AA436" s="4">
        <f>('TE BE'!$AB$38+'TE BF'!$AB$38+'TE CVA'!$AB$38)*1</f>
        <v>185.42082399535556</v>
      </c>
      <c r="AB436" s="4">
        <f>$K$436*$V$436</f>
        <v>0</v>
      </c>
      <c r="AC436" s="4">
        <f>$M$436*$W$436</f>
        <v>50053.349249999999</v>
      </c>
      <c r="AD436" s="4">
        <f>$O$436*$X$436</f>
        <v>36464.426370000001</v>
      </c>
      <c r="AE436" s="4">
        <f>$K$436*$Y$436</f>
        <v>0</v>
      </c>
      <c r="AF436" s="4">
        <f ca="1">$M$436*$Z$436</f>
        <v>59560.801892485149</v>
      </c>
      <c r="AG436" s="4">
        <f>$O$436*$AA$436</f>
        <v>25237.072091535858</v>
      </c>
    </row>
    <row r="437" spans="1:33" ht="11.25" customHeight="1" x14ac:dyDescent="0.25">
      <c r="A437" s="3" t="s">
        <v>28</v>
      </c>
      <c r="B437" s="3" t="s">
        <v>33</v>
      </c>
      <c r="C437" s="3" t="s">
        <v>23</v>
      </c>
      <c r="D437" s="3" t="s">
        <v>34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44440</v>
      </c>
      <c r="J437" s="4">
        <v>0</v>
      </c>
      <c r="K437" s="4">
        <v>0</v>
      </c>
      <c r="L437" s="4">
        <v>4.835</v>
      </c>
      <c r="M437" s="4">
        <v>4.835</v>
      </c>
      <c r="N437" s="4">
        <v>4.835</v>
      </c>
      <c r="O437" s="4">
        <v>4.835</v>
      </c>
      <c r="P437" s="4">
        <v>1</v>
      </c>
      <c r="Q437" s="3" t="s">
        <v>26</v>
      </c>
      <c r="R437" s="3">
        <v>0</v>
      </c>
      <c r="S437" s="4">
        <v>0</v>
      </c>
      <c r="T437" s="4">
        <v>26</v>
      </c>
      <c r="U437" s="4">
        <v>81</v>
      </c>
      <c r="V437" s="4">
        <f>IF(ISERROR(VLOOKUP($S$437,'TAR FIN'!$A$1:$O$85,15,0)),0,VLOOKUP($S$437,'TAR FIN'!$A$1:$O$85,15,0))</f>
        <v>0</v>
      </c>
      <c r="W437" s="4">
        <f>IF(ISERROR(VLOOKUP($T$437,'TAR FIN'!$A$1:$O$85,15,0)),0,VLOOKUP($T$437,'TAR FIN'!$A$1:$O$85,15,0))</f>
        <v>367.75</v>
      </c>
      <c r="X437" s="4">
        <f>IF(ISERROR(VLOOKUP($U$437,'TAR FIN'!$A$1:$O$85,15,0)),0,VLOOKUP($U$437,'TAR FIN'!$A$1:$O$85,15,0))</f>
        <v>267.91000000000003</v>
      </c>
      <c r="Y437" s="4"/>
      <c r="Z437" s="4">
        <f ca="1">('TUSD BE'!$AM$48+'TUSD BF'!$AM$48+'TUSD CVA'!$AM$48)*1</f>
        <v>437.60278231454038</v>
      </c>
      <c r="AA437" s="4">
        <f>('TE BE'!$AB$38+'TE BF'!$AB$38+'TE CVA'!$AB$38)*1</f>
        <v>185.42082399535556</v>
      </c>
      <c r="AB437" s="4">
        <f>$K$437*$V$437</f>
        <v>0</v>
      </c>
      <c r="AC437" s="4">
        <f>$M$437*$W$437</f>
        <v>1778.07125</v>
      </c>
      <c r="AD437" s="4">
        <f>$O$437*$X$437</f>
        <v>1295.3448500000002</v>
      </c>
      <c r="AE437" s="4">
        <f>$K$437*$Y$437</f>
        <v>0</v>
      </c>
      <c r="AF437" s="4">
        <f ca="1">$M$437*$Z$437</f>
        <v>2115.8094524908029</v>
      </c>
      <c r="AG437" s="4">
        <f>$O$437*$AA$437</f>
        <v>896.50968401754415</v>
      </c>
    </row>
    <row r="438" spans="1:33" ht="11.25" customHeight="1" x14ac:dyDescent="0.25">
      <c r="A438" s="3" t="s">
        <v>21</v>
      </c>
      <c r="B438" s="3" t="s">
        <v>33</v>
      </c>
      <c r="C438" s="3" t="s">
        <v>23</v>
      </c>
      <c r="D438" s="3" t="s">
        <v>34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44470</v>
      </c>
      <c r="J438" s="4">
        <v>0</v>
      </c>
      <c r="K438" s="4">
        <v>0</v>
      </c>
      <c r="L438" s="4">
        <v>30.5</v>
      </c>
      <c r="M438" s="4">
        <v>30.5</v>
      </c>
      <c r="N438" s="4">
        <v>30.5</v>
      </c>
      <c r="O438" s="4">
        <v>30.5</v>
      </c>
      <c r="P438" s="4">
        <v>19</v>
      </c>
      <c r="Q438" s="3" t="s">
        <v>26</v>
      </c>
      <c r="R438" s="3">
        <v>0</v>
      </c>
      <c r="S438" s="4">
        <v>0</v>
      </c>
      <c r="T438" s="4">
        <v>26</v>
      </c>
      <c r="U438" s="4">
        <v>81</v>
      </c>
      <c r="V438" s="4">
        <f>IF(ISERROR(VLOOKUP($S$438,'TAR FIN'!$A$1:$O$85,15,0)),0,VLOOKUP($S$438,'TAR FIN'!$A$1:$O$85,15,0))</f>
        <v>0</v>
      </c>
      <c r="W438" s="4">
        <f>IF(ISERROR(VLOOKUP($T$438,'TAR FIN'!$A$1:$O$85,15,0)),0,VLOOKUP($T$438,'TAR FIN'!$A$1:$O$85,15,0))</f>
        <v>367.75</v>
      </c>
      <c r="X438" s="4">
        <f>IF(ISERROR(VLOOKUP($U$438,'TAR FIN'!$A$1:$O$85,15,0)),0,VLOOKUP($U$438,'TAR FIN'!$A$1:$O$85,15,0))</f>
        <v>267.91000000000003</v>
      </c>
      <c r="Y438" s="4"/>
      <c r="Z438" s="4">
        <f ca="1">('TUSD BE'!$AM$48+'TUSD BF'!$AM$48+'TUSD CVA'!$AM$48)*1</f>
        <v>437.60278231454038</v>
      </c>
      <c r="AA438" s="4">
        <f>('TE BE'!$AB$38+'TE BF'!$AB$38+'TE CVA'!$AB$38)*1</f>
        <v>185.42082399535556</v>
      </c>
      <c r="AB438" s="4">
        <f>$K$438*$V$438</f>
        <v>0</v>
      </c>
      <c r="AC438" s="4">
        <f>$M$438*$W$438</f>
        <v>11216.375</v>
      </c>
      <c r="AD438" s="4">
        <f>$O$438*$X$438</f>
        <v>8171.255000000001</v>
      </c>
      <c r="AE438" s="4">
        <f>$K$438*$Y$438</f>
        <v>0</v>
      </c>
      <c r="AF438" s="4">
        <f ca="1">$M$438*$Z$438</f>
        <v>13346.884860593482</v>
      </c>
      <c r="AG438" s="4">
        <f>$O$438*$AA$438</f>
        <v>5655.3351318583445</v>
      </c>
    </row>
    <row r="439" spans="1:33" ht="11.25" customHeight="1" x14ac:dyDescent="0.25">
      <c r="A439" s="3" t="s">
        <v>27</v>
      </c>
      <c r="B439" s="3" t="s">
        <v>33</v>
      </c>
      <c r="C439" s="3" t="s">
        <v>23</v>
      </c>
      <c r="D439" s="3" t="s">
        <v>34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44470</v>
      </c>
      <c r="J439" s="4">
        <v>0</v>
      </c>
      <c r="K439" s="4">
        <v>0</v>
      </c>
      <c r="L439" s="4">
        <v>-99.894000000000005</v>
      </c>
      <c r="M439" s="4">
        <v>-99.894000000000005</v>
      </c>
      <c r="N439" s="4">
        <v>-99.894000000000005</v>
      </c>
      <c r="O439" s="4">
        <v>-99.894000000000005</v>
      </c>
      <c r="P439" s="4">
        <v>0</v>
      </c>
      <c r="Q439" s="3" t="s">
        <v>26</v>
      </c>
      <c r="R439" s="3">
        <v>0</v>
      </c>
      <c r="S439" s="4">
        <v>0</v>
      </c>
      <c r="T439" s="4">
        <v>26</v>
      </c>
      <c r="U439" s="4">
        <v>81</v>
      </c>
      <c r="V439" s="4">
        <f>IF(ISERROR(VLOOKUP($S$439,'TAR FIN'!$A$1:$O$85,15,0)),0,VLOOKUP($S$439,'TAR FIN'!$A$1:$O$85,15,0))</f>
        <v>0</v>
      </c>
      <c r="W439" s="4">
        <f>IF(ISERROR(VLOOKUP($T$439,'TAR FIN'!$A$1:$O$85,15,0)),0,VLOOKUP($T$439,'TAR FIN'!$A$1:$O$85,15,0))</f>
        <v>367.75</v>
      </c>
      <c r="X439" s="4">
        <f>IF(ISERROR(VLOOKUP($U$439,'TAR FIN'!$A$1:$O$85,15,0)),0,VLOOKUP($U$439,'TAR FIN'!$A$1:$O$85,15,0))</f>
        <v>267.91000000000003</v>
      </c>
      <c r="Y439" s="4"/>
      <c r="Z439" s="4">
        <f ca="1">('TUSD BE'!$AM$48+'TUSD BF'!$AM$48+'TUSD CVA'!$AM$48)*1</f>
        <v>437.60278231454038</v>
      </c>
      <c r="AA439" s="4">
        <f>('TE BE'!$AB$38+'TE BF'!$AB$38+'TE CVA'!$AB$38)*1</f>
        <v>185.42082399535556</v>
      </c>
      <c r="AB439" s="4">
        <f>$K$439*$V$439</f>
        <v>0</v>
      </c>
      <c r="AC439" s="4">
        <f>$M$439*$W$439</f>
        <v>-36736.018500000006</v>
      </c>
      <c r="AD439" s="4">
        <f>$O$439*$X$439</f>
        <v>-26762.601540000003</v>
      </c>
      <c r="AE439" s="4">
        <f>$K$439*$Y$439</f>
        <v>0</v>
      </c>
      <c r="AF439" s="4">
        <f ca="1">$M$439*$Z$439</f>
        <v>-43713.892336528697</v>
      </c>
      <c r="AG439" s="4">
        <f>$O$439*$AA$439</f>
        <v>-18522.427792192051</v>
      </c>
    </row>
    <row r="440" spans="1:33" ht="11.25" customHeight="1" x14ac:dyDescent="0.25">
      <c r="A440" s="3" t="s">
        <v>28</v>
      </c>
      <c r="B440" s="3" t="s">
        <v>33</v>
      </c>
      <c r="C440" s="3" t="s">
        <v>23</v>
      </c>
      <c r="D440" s="3" t="s">
        <v>34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44470</v>
      </c>
      <c r="J440" s="4">
        <v>0</v>
      </c>
      <c r="K440" s="4">
        <v>0</v>
      </c>
      <c r="L440" s="4">
        <v>3.86</v>
      </c>
      <c r="M440" s="4">
        <v>3.86</v>
      </c>
      <c r="N440" s="4">
        <v>3.86</v>
      </c>
      <c r="O440" s="4">
        <v>3.86</v>
      </c>
      <c r="P440" s="4">
        <v>1</v>
      </c>
      <c r="Q440" s="3" t="s">
        <v>26</v>
      </c>
      <c r="R440" s="3">
        <v>0</v>
      </c>
      <c r="S440" s="4">
        <v>0</v>
      </c>
      <c r="T440" s="4">
        <v>26</v>
      </c>
      <c r="U440" s="4">
        <v>81</v>
      </c>
      <c r="V440" s="4">
        <f>IF(ISERROR(VLOOKUP($S$440,'TAR FIN'!$A$1:$O$85,15,0)),0,VLOOKUP($S$440,'TAR FIN'!$A$1:$O$85,15,0))</f>
        <v>0</v>
      </c>
      <c r="W440" s="4">
        <f>IF(ISERROR(VLOOKUP($T$440,'TAR FIN'!$A$1:$O$85,15,0)),0,VLOOKUP($T$440,'TAR FIN'!$A$1:$O$85,15,0))</f>
        <v>367.75</v>
      </c>
      <c r="X440" s="4">
        <f>IF(ISERROR(VLOOKUP($U$440,'TAR FIN'!$A$1:$O$85,15,0)),0,VLOOKUP($U$440,'TAR FIN'!$A$1:$O$85,15,0))</f>
        <v>267.91000000000003</v>
      </c>
      <c r="Y440" s="4"/>
      <c r="Z440" s="4">
        <f ca="1">('TUSD BE'!$AM$48+'TUSD BF'!$AM$48+'TUSD CVA'!$AM$48)*1</f>
        <v>437.60278231454038</v>
      </c>
      <c r="AA440" s="4">
        <f>('TE BE'!$AB$38+'TE BF'!$AB$38+'TE CVA'!$AB$38)*1</f>
        <v>185.42082399535556</v>
      </c>
      <c r="AB440" s="4">
        <f>$K$440*$V$440</f>
        <v>0</v>
      </c>
      <c r="AC440" s="4">
        <f>$M$440*$W$440</f>
        <v>1419.5149999999999</v>
      </c>
      <c r="AD440" s="4">
        <f>$O$440*$X$440</f>
        <v>1034.1326000000001</v>
      </c>
      <c r="AE440" s="4">
        <f>$K$440*$Y$440</f>
        <v>0</v>
      </c>
      <c r="AF440" s="4">
        <f ca="1">$M$440*$Z$440</f>
        <v>1689.1467397341257</v>
      </c>
      <c r="AG440" s="4">
        <f>$O$440*$AA$440</f>
        <v>715.72438062207243</v>
      </c>
    </row>
    <row r="441" spans="1:33" ht="11.25" customHeight="1" x14ac:dyDescent="0.25">
      <c r="A441" s="3" t="s">
        <v>21</v>
      </c>
      <c r="B441" s="3" t="s">
        <v>33</v>
      </c>
      <c r="C441" s="3" t="s">
        <v>23</v>
      </c>
      <c r="D441" s="3" t="s">
        <v>34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44501</v>
      </c>
      <c r="J441" s="4">
        <v>0</v>
      </c>
      <c r="K441" s="4">
        <v>0</v>
      </c>
      <c r="L441" s="4">
        <v>26.689</v>
      </c>
      <c r="M441" s="4">
        <v>26.689</v>
      </c>
      <c r="N441" s="4">
        <v>26.689</v>
      </c>
      <c r="O441" s="4">
        <v>26.689</v>
      </c>
      <c r="P441" s="4">
        <v>19</v>
      </c>
      <c r="Q441" s="3" t="s">
        <v>26</v>
      </c>
      <c r="R441" s="3">
        <v>0</v>
      </c>
      <c r="S441" s="4">
        <v>0</v>
      </c>
      <c r="T441" s="4">
        <v>26</v>
      </c>
      <c r="U441" s="4">
        <v>81</v>
      </c>
      <c r="V441" s="4">
        <f>IF(ISERROR(VLOOKUP($S$441,'TAR FIN'!$A$1:$O$85,15,0)),0,VLOOKUP($S$441,'TAR FIN'!$A$1:$O$85,15,0))</f>
        <v>0</v>
      </c>
      <c r="W441" s="4">
        <f>IF(ISERROR(VLOOKUP($T$441,'TAR FIN'!$A$1:$O$85,15,0)),0,VLOOKUP($T$441,'TAR FIN'!$A$1:$O$85,15,0))</f>
        <v>367.75</v>
      </c>
      <c r="X441" s="4">
        <f>IF(ISERROR(VLOOKUP($U$441,'TAR FIN'!$A$1:$O$85,15,0)),0,VLOOKUP($U$441,'TAR FIN'!$A$1:$O$85,15,0))</f>
        <v>267.91000000000003</v>
      </c>
      <c r="Y441" s="4"/>
      <c r="Z441" s="4">
        <f ca="1">('TUSD BE'!$AM$48+'TUSD BF'!$AM$48+'TUSD CVA'!$AM$48)*1</f>
        <v>437.60278231454038</v>
      </c>
      <c r="AA441" s="4">
        <f>('TE BE'!$AB$38+'TE BF'!$AB$38+'TE CVA'!$AB$38)*1</f>
        <v>185.42082399535556</v>
      </c>
      <c r="AB441" s="4">
        <f>$K$441*$V$441</f>
        <v>0</v>
      </c>
      <c r="AC441" s="4">
        <f>$M$441*$W$441</f>
        <v>9814.8797500000001</v>
      </c>
      <c r="AD441" s="4">
        <f>$O$441*$X$441</f>
        <v>7150.2499900000003</v>
      </c>
      <c r="AE441" s="4">
        <f>$K$441*$Y$441</f>
        <v>0</v>
      </c>
      <c r="AF441" s="4">
        <f ca="1">$M$441*$Z$441</f>
        <v>11679.180657192768</v>
      </c>
      <c r="AG441" s="4">
        <f>$O$441*$AA$441</f>
        <v>4948.6963716120445</v>
      </c>
    </row>
    <row r="442" spans="1:33" ht="11.25" customHeight="1" x14ac:dyDescent="0.25">
      <c r="A442" s="3" t="s">
        <v>28</v>
      </c>
      <c r="B442" s="3" t="s">
        <v>33</v>
      </c>
      <c r="C442" s="3" t="s">
        <v>23</v>
      </c>
      <c r="D442" s="3" t="s">
        <v>34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44501</v>
      </c>
      <c r="J442" s="4">
        <v>0</v>
      </c>
      <c r="K442" s="4">
        <v>0</v>
      </c>
      <c r="L442" s="4">
        <v>2.762</v>
      </c>
      <c r="M442" s="4">
        <v>2.762</v>
      </c>
      <c r="N442" s="4">
        <v>2.762</v>
      </c>
      <c r="O442" s="4">
        <v>2.762</v>
      </c>
      <c r="P442" s="4">
        <v>1</v>
      </c>
      <c r="Q442" s="3" t="s">
        <v>26</v>
      </c>
      <c r="R442" s="3">
        <v>0</v>
      </c>
      <c r="S442" s="4">
        <v>0</v>
      </c>
      <c r="T442" s="4">
        <v>26</v>
      </c>
      <c r="U442" s="4">
        <v>81</v>
      </c>
      <c r="V442" s="4">
        <f>IF(ISERROR(VLOOKUP($S$442,'TAR FIN'!$A$1:$O$85,15,0)),0,VLOOKUP($S$442,'TAR FIN'!$A$1:$O$85,15,0))</f>
        <v>0</v>
      </c>
      <c r="W442" s="4">
        <f>IF(ISERROR(VLOOKUP($T$442,'TAR FIN'!$A$1:$O$85,15,0)),0,VLOOKUP($T$442,'TAR FIN'!$A$1:$O$85,15,0))</f>
        <v>367.75</v>
      </c>
      <c r="X442" s="4">
        <f>IF(ISERROR(VLOOKUP($U$442,'TAR FIN'!$A$1:$O$85,15,0)),0,VLOOKUP($U$442,'TAR FIN'!$A$1:$O$85,15,0))</f>
        <v>267.91000000000003</v>
      </c>
      <c r="Y442" s="4"/>
      <c r="Z442" s="4">
        <f ca="1">('TUSD BE'!$AM$48+'TUSD BF'!$AM$48+'TUSD CVA'!$AM$48)*1</f>
        <v>437.60278231454038</v>
      </c>
      <c r="AA442" s="4">
        <f>('TE BE'!$AB$38+'TE BF'!$AB$38+'TE CVA'!$AB$38)*1</f>
        <v>185.42082399535556</v>
      </c>
      <c r="AB442" s="4">
        <f>$K$442*$V$442</f>
        <v>0</v>
      </c>
      <c r="AC442" s="4">
        <f>$M$442*$W$442</f>
        <v>1015.7255</v>
      </c>
      <c r="AD442" s="4">
        <f>$O$442*$X$442</f>
        <v>739.96742000000006</v>
      </c>
      <c r="AE442" s="4">
        <f>$K$442*$Y$442</f>
        <v>0</v>
      </c>
      <c r="AF442" s="4">
        <f ca="1">$M$442*$Z$442</f>
        <v>1208.6588847527605</v>
      </c>
      <c r="AG442" s="4">
        <f>$O$442*$AA$442</f>
        <v>512.13231587517203</v>
      </c>
    </row>
    <row r="443" spans="1:33" ht="11.25" customHeight="1" x14ac:dyDescent="0.25">
      <c r="A443" s="3" t="s">
        <v>21</v>
      </c>
      <c r="B443" s="3" t="s">
        <v>33</v>
      </c>
      <c r="C443" s="3" t="s">
        <v>23</v>
      </c>
      <c r="D443" s="3" t="s">
        <v>34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44531</v>
      </c>
      <c r="J443" s="4">
        <v>0</v>
      </c>
      <c r="K443" s="4">
        <v>0</v>
      </c>
      <c r="L443" s="4">
        <v>27.263000000000002</v>
      </c>
      <c r="M443" s="4">
        <v>27.263000000000002</v>
      </c>
      <c r="N443" s="4">
        <v>27.263000000000002</v>
      </c>
      <c r="O443" s="4">
        <v>27.263000000000002</v>
      </c>
      <c r="P443" s="4">
        <v>19</v>
      </c>
      <c r="Q443" s="3" t="s">
        <v>26</v>
      </c>
      <c r="R443" s="3">
        <v>0</v>
      </c>
      <c r="S443" s="4">
        <v>0</v>
      </c>
      <c r="T443" s="4">
        <v>26</v>
      </c>
      <c r="U443" s="4">
        <v>81</v>
      </c>
      <c r="V443" s="4">
        <f>IF(ISERROR(VLOOKUP($S$443,'TAR FIN'!$A$1:$O$85,15,0)),0,VLOOKUP($S$443,'TAR FIN'!$A$1:$O$85,15,0))</f>
        <v>0</v>
      </c>
      <c r="W443" s="4">
        <f>IF(ISERROR(VLOOKUP($T$443,'TAR FIN'!$A$1:$O$85,15,0)),0,VLOOKUP($T$443,'TAR FIN'!$A$1:$O$85,15,0))</f>
        <v>367.75</v>
      </c>
      <c r="X443" s="4">
        <f>IF(ISERROR(VLOOKUP($U$443,'TAR FIN'!$A$1:$O$85,15,0)),0,VLOOKUP($U$443,'TAR FIN'!$A$1:$O$85,15,0))</f>
        <v>267.91000000000003</v>
      </c>
      <c r="Y443" s="4"/>
      <c r="Z443" s="4">
        <f ca="1">('TUSD BE'!$AM$48+'TUSD BF'!$AM$48+'TUSD CVA'!$AM$48)*1</f>
        <v>437.60278231454038</v>
      </c>
      <c r="AA443" s="4">
        <f>('TE BE'!$AB$38+'TE BF'!$AB$38+'TE CVA'!$AB$38)*1</f>
        <v>185.42082399535556</v>
      </c>
      <c r="AB443" s="4">
        <f>$K$443*$V$443</f>
        <v>0</v>
      </c>
      <c r="AC443" s="4">
        <f>$M$443*$W$443</f>
        <v>10025.96825</v>
      </c>
      <c r="AD443" s="4">
        <f>$O$443*$X$443</f>
        <v>7304.0303300000014</v>
      </c>
      <c r="AE443" s="4">
        <f>$K$443*$Y$443</f>
        <v>0</v>
      </c>
      <c r="AF443" s="4">
        <f ca="1">$M$443*$Z$443</f>
        <v>11930.364654241315</v>
      </c>
      <c r="AG443" s="4">
        <f>$O$443*$AA$443</f>
        <v>5055.1279245853793</v>
      </c>
    </row>
    <row r="444" spans="1:33" ht="11.25" customHeight="1" x14ac:dyDescent="0.25">
      <c r="A444" s="3" t="s">
        <v>28</v>
      </c>
      <c r="B444" s="3" t="s">
        <v>33</v>
      </c>
      <c r="C444" s="3" t="s">
        <v>23</v>
      </c>
      <c r="D444" s="3" t="s">
        <v>34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44531</v>
      </c>
      <c r="J444" s="4">
        <v>0</v>
      </c>
      <c r="K444" s="4">
        <v>0</v>
      </c>
      <c r="L444" s="4">
        <v>2.8210000000000002</v>
      </c>
      <c r="M444" s="4">
        <v>2.8210000000000002</v>
      </c>
      <c r="N444" s="4">
        <v>2.8210000000000002</v>
      </c>
      <c r="O444" s="4">
        <v>2.8210000000000002</v>
      </c>
      <c r="P444" s="4">
        <v>1</v>
      </c>
      <c r="Q444" s="3" t="s">
        <v>26</v>
      </c>
      <c r="R444" s="3">
        <v>0</v>
      </c>
      <c r="S444" s="4">
        <v>0</v>
      </c>
      <c r="T444" s="4">
        <v>26</v>
      </c>
      <c r="U444" s="4">
        <v>81</v>
      </c>
      <c r="V444" s="4">
        <f>IF(ISERROR(VLOOKUP($S$444,'TAR FIN'!$A$1:$O$85,15,0)),0,VLOOKUP($S$444,'TAR FIN'!$A$1:$O$85,15,0))</f>
        <v>0</v>
      </c>
      <c r="W444" s="4">
        <f>IF(ISERROR(VLOOKUP($T$444,'TAR FIN'!$A$1:$O$85,15,0)),0,VLOOKUP($T$444,'TAR FIN'!$A$1:$O$85,15,0))</f>
        <v>367.75</v>
      </c>
      <c r="X444" s="4">
        <f>IF(ISERROR(VLOOKUP($U$444,'TAR FIN'!$A$1:$O$85,15,0)),0,VLOOKUP($U$444,'TAR FIN'!$A$1:$O$85,15,0))</f>
        <v>267.91000000000003</v>
      </c>
      <c r="Y444" s="4"/>
      <c r="Z444" s="4">
        <f ca="1">('TUSD BE'!$AM$48+'TUSD BF'!$AM$48+'TUSD CVA'!$AM$48)*1</f>
        <v>437.60278231454038</v>
      </c>
      <c r="AA444" s="4">
        <f>('TE BE'!$AB$38+'TE BF'!$AB$38+'TE CVA'!$AB$38)*1</f>
        <v>185.42082399535556</v>
      </c>
      <c r="AB444" s="4">
        <f>$K$444*$V$444</f>
        <v>0</v>
      </c>
      <c r="AC444" s="4">
        <f>$M$444*$W$444</f>
        <v>1037.42275</v>
      </c>
      <c r="AD444" s="4">
        <f>$O$444*$X$444</f>
        <v>755.77411000000006</v>
      </c>
      <c r="AE444" s="4">
        <f>$K$444*$Y$444</f>
        <v>0</v>
      </c>
      <c r="AF444" s="4">
        <f ca="1">$M$444*$Z$444</f>
        <v>1234.4774489093186</v>
      </c>
      <c r="AG444" s="4">
        <f>$O$444*$AA$444</f>
        <v>523.07214449089804</v>
      </c>
    </row>
    <row r="445" spans="1:33" ht="11.25" customHeight="1" x14ac:dyDescent="0.25">
      <c r="A445" s="3" t="s">
        <v>21</v>
      </c>
      <c r="B445" s="3" t="s">
        <v>33</v>
      </c>
      <c r="C445" s="3" t="s">
        <v>23</v>
      </c>
      <c r="D445" s="3" t="s">
        <v>34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44562</v>
      </c>
      <c r="J445" s="4">
        <v>0</v>
      </c>
      <c r="K445" s="4">
        <v>0</v>
      </c>
      <c r="L445" s="4">
        <v>20.204999999999998</v>
      </c>
      <c r="M445" s="4">
        <v>20.204999999999998</v>
      </c>
      <c r="N445" s="4">
        <v>20.204999999999998</v>
      </c>
      <c r="O445" s="4">
        <v>20.204999999999998</v>
      </c>
      <c r="P445" s="4">
        <v>19</v>
      </c>
      <c r="Q445" s="3" t="s">
        <v>26</v>
      </c>
      <c r="R445" s="3">
        <v>0</v>
      </c>
      <c r="S445" s="4">
        <v>0</v>
      </c>
      <c r="T445" s="4">
        <v>26</v>
      </c>
      <c r="U445" s="4">
        <v>81</v>
      </c>
      <c r="V445" s="4">
        <f>IF(ISERROR(VLOOKUP($S$445,'TAR FIN'!$A$1:$O$85,15,0)),0,VLOOKUP($S$445,'TAR FIN'!$A$1:$O$85,15,0))</f>
        <v>0</v>
      </c>
      <c r="W445" s="4">
        <f>IF(ISERROR(VLOOKUP($T$445,'TAR FIN'!$A$1:$O$85,15,0)),0,VLOOKUP($T$445,'TAR FIN'!$A$1:$O$85,15,0))</f>
        <v>367.75</v>
      </c>
      <c r="X445" s="4">
        <f>IF(ISERROR(VLOOKUP($U$445,'TAR FIN'!$A$1:$O$85,15,0)),0,VLOOKUP($U$445,'TAR FIN'!$A$1:$O$85,15,0))</f>
        <v>267.91000000000003</v>
      </c>
      <c r="Y445" s="4"/>
      <c r="Z445" s="4">
        <f ca="1">('TUSD BE'!$AM$48+'TUSD BF'!$AM$48+'TUSD CVA'!$AM$48)*1</f>
        <v>437.60278231454038</v>
      </c>
      <c r="AA445" s="4">
        <f>('TE BE'!$AB$38+'TE BF'!$AB$38+'TE CVA'!$AB$38)*1</f>
        <v>185.42082399535556</v>
      </c>
      <c r="AB445" s="4">
        <f>$K$445*$V$445</f>
        <v>0</v>
      </c>
      <c r="AC445" s="4">
        <f>$M$445*$W$445</f>
        <v>7430.3887499999992</v>
      </c>
      <c r="AD445" s="4">
        <f>$O$445*$X$445</f>
        <v>5413.1215499999998</v>
      </c>
      <c r="AE445" s="4">
        <f>$K$445*$Y$445</f>
        <v>0</v>
      </c>
      <c r="AF445" s="4">
        <f ca="1">$M$445*$Z$445</f>
        <v>8841.7642166652877</v>
      </c>
      <c r="AG445" s="4">
        <f>$O$445*$AA$445</f>
        <v>3746.4277488261587</v>
      </c>
    </row>
    <row r="446" spans="1:33" ht="11.25" customHeight="1" x14ac:dyDescent="0.25">
      <c r="A446" s="3" t="s">
        <v>28</v>
      </c>
      <c r="B446" s="3" t="s">
        <v>33</v>
      </c>
      <c r="C446" s="3" t="s">
        <v>23</v>
      </c>
      <c r="D446" s="3" t="s">
        <v>34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44562</v>
      </c>
      <c r="J446" s="4">
        <v>0</v>
      </c>
      <c r="K446" s="4">
        <v>0</v>
      </c>
      <c r="L446" s="4">
        <v>0.1</v>
      </c>
      <c r="M446" s="4">
        <v>0.1</v>
      </c>
      <c r="N446" s="4">
        <v>0.1</v>
      </c>
      <c r="O446" s="4">
        <v>0.1</v>
      </c>
      <c r="P446" s="4">
        <v>1</v>
      </c>
      <c r="Q446" s="3" t="s">
        <v>26</v>
      </c>
      <c r="R446" s="3">
        <v>0</v>
      </c>
      <c r="S446" s="4">
        <v>0</v>
      </c>
      <c r="T446" s="4">
        <v>26</v>
      </c>
      <c r="U446" s="4">
        <v>81</v>
      </c>
      <c r="V446" s="4">
        <f>IF(ISERROR(VLOOKUP($S$446,'TAR FIN'!$A$1:$O$85,15,0)),0,VLOOKUP($S$446,'TAR FIN'!$A$1:$O$85,15,0))</f>
        <v>0</v>
      </c>
      <c r="W446" s="4">
        <f>IF(ISERROR(VLOOKUP($T$446,'TAR FIN'!$A$1:$O$85,15,0)),0,VLOOKUP($T$446,'TAR FIN'!$A$1:$O$85,15,0))</f>
        <v>367.75</v>
      </c>
      <c r="X446" s="4">
        <f>IF(ISERROR(VLOOKUP($U$446,'TAR FIN'!$A$1:$O$85,15,0)),0,VLOOKUP($U$446,'TAR FIN'!$A$1:$O$85,15,0))</f>
        <v>267.91000000000003</v>
      </c>
      <c r="Y446" s="4"/>
      <c r="Z446" s="4">
        <f ca="1">('TUSD BE'!$AM$48+'TUSD BF'!$AM$48+'TUSD CVA'!$AM$48)*1</f>
        <v>437.60278231454038</v>
      </c>
      <c r="AA446" s="4">
        <f>('TE BE'!$AB$38+'TE BF'!$AB$38+'TE CVA'!$AB$38)*1</f>
        <v>185.42082399535556</v>
      </c>
      <c r="AB446" s="4">
        <f>$K$446*$V$446</f>
        <v>0</v>
      </c>
      <c r="AC446" s="4">
        <f>$M$446*$W$446</f>
        <v>36.774999999999999</v>
      </c>
      <c r="AD446" s="4">
        <f>$O$446*$X$446</f>
        <v>26.791000000000004</v>
      </c>
      <c r="AE446" s="4">
        <f>$K$446*$Y$446</f>
        <v>0</v>
      </c>
      <c r="AF446" s="4">
        <f ca="1">$M$446*$Z$446</f>
        <v>43.760278231454038</v>
      </c>
      <c r="AG446" s="4">
        <f>$O$446*$AA$446</f>
        <v>18.542082399535555</v>
      </c>
    </row>
    <row r="447" spans="1:33" ht="11.25" customHeight="1" x14ac:dyDescent="0.25">
      <c r="A447" s="3" t="s">
        <v>21</v>
      </c>
      <c r="B447" s="3" t="s">
        <v>33</v>
      </c>
      <c r="C447" s="3" t="s">
        <v>23</v>
      </c>
      <c r="D447" s="3" t="s">
        <v>34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44593</v>
      </c>
      <c r="J447" s="4">
        <v>0</v>
      </c>
      <c r="K447" s="4">
        <v>0</v>
      </c>
      <c r="L447" s="4">
        <v>22.268000000000001</v>
      </c>
      <c r="M447" s="4">
        <v>22.268000000000001</v>
      </c>
      <c r="N447" s="4">
        <v>22.268000000000001</v>
      </c>
      <c r="O447" s="4">
        <v>22.268000000000001</v>
      </c>
      <c r="P447" s="4">
        <v>19</v>
      </c>
      <c r="Q447" s="3" t="s">
        <v>26</v>
      </c>
      <c r="R447" s="3">
        <v>0</v>
      </c>
      <c r="S447" s="4">
        <v>0</v>
      </c>
      <c r="T447" s="4">
        <v>26</v>
      </c>
      <c r="U447" s="4">
        <v>81</v>
      </c>
      <c r="V447" s="4">
        <f>IF(ISERROR(VLOOKUP($S$447,'TAR FIN'!$A$1:$O$85,15,0)),0,VLOOKUP($S$447,'TAR FIN'!$A$1:$O$85,15,0))</f>
        <v>0</v>
      </c>
      <c r="W447" s="4">
        <f>IF(ISERROR(VLOOKUP($T$447,'TAR FIN'!$A$1:$O$85,15,0)),0,VLOOKUP($T$447,'TAR FIN'!$A$1:$O$85,15,0))</f>
        <v>367.75</v>
      </c>
      <c r="X447" s="4">
        <f>IF(ISERROR(VLOOKUP($U$447,'TAR FIN'!$A$1:$O$85,15,0)),0,VLOOKUP($U$447,'TAR FIN'!$A$1:$O$85,15,0))</f>
        <v>267.91000000000003</v>
      </c>
      <c r="Y447" s="4"/>
      <c r="Z447" s="4">
        <f ca="1">('TUSD BE'!$AM$48+'TUSD BF'!$AM$48+'TUSD CVA'!$AM$48)*1</f>
        <v>437.60278231454038</v>
      </c>
      <c r="AA447" s="4">
        <f>('TE BE'!$AB$38+'TE BF'!$AB$38+'TE CVA'!$AB$38)*1</f>
        <v>185.42082399535556</v>
      </c>
      <c r="AB447" s="4">
        <f>$K$447*$V$447</f>
        <v>0</v>
      </c>
      <c r="AC447" s="4">
        <f>$M$447*$W$447</f>
        <v>8189.0570000000007</v>
      </c>
      <c r="AD447" s="4">
        <f>$O$447*$X$447</f>
        <v>5965.8198800000009</v>
      </c>
      <c r="AE447" s="4">
        <f>$K$447*$Y$447</f>
        <v>0</v>
      </c>
      <c r="AF447" s="4">
        <f ca="1">$M$447*$Z$447</f>
        <v>9744.5387565801848</v>
      </c>
      <c r="AG447" s="4">
        <f>$O$447*$AA$447</f>
        <v>4128.9509087285778</v>
      </c>
    </row>
    <row r="448" spans="1:33" ht="11.25" customHeight="1" x14ac:dyDescent="0.25">
      <c r="A448" s="3" t="s">
        <v>28</v>
      </c>
      <c r="B448" s="3" t="s">
        <v>33</v>
      </c>
      <c r="C448" s="3" t="s">
        <v>23</v>
      </c>
      <c r="D448" s="3" t="s">
        <v>34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44593</v>
      </c>
      <c r="J448" s="4">
        <v>0</v>
      </c>
      <c r="K448" s="4">
        <v>0</v>
      </c>
      <c r="L448" s="4">
        <v>1.992</v>
      </c>
      <c r="M448" s="4">
        <v>1.992</v>
      </c>
      <c r="N448" s="4">
        <v>1.992</v>
      </c>
      <c r="O448" s="4">
        <v>1.992</v>
      </c>
      <c r="P448" s="4">
        <v>1</v>
      </c>
      <c r="Q448" s="3" t="s">
        <v>26</v>
      </c>
      <c r="R448" s="3">
        <v>0</v>
      </c>
      <c r="S448" s="4">
        <v>0</v>
      </c>
      <c r="T448" s="4">
        <v>26</v>
      </c>
      <c r="U448" s="4">
        <v>81</v>
      </c>
      <c r="V448" s="4">
        <f>IF(ISERROR(VLOOKUP($S$448,'TAR FIN'!$A$1:$O$85,15,0)),0,VLOOKUP($S$448,'TAR FIN'!$A$1:$O$85,15,0))</f>
        <v>0</v>
      </c>
      <c r="W448" s="4">
        <f>IF(ISERROR(VLOOKUP($T$448,'TAR FIN'!$A$1:$O$85,15,0)),0,VLOOKUP($T$448,'TAR FIN'!$A$1:$O$85,15,0))</f>
        <v>367.75</v>
      </c>
      <c r="X448" s="4">
        <f>IF(ISERROR(VLOOKUP($U$448,'TAR FIN'!$A$1:$O$85,15,0)),0,VLOOKUP($U$448,'TAR FIN'!$A$1:$O$85,15,0))</f>
        <v>267.91000000000003</v>
      </c>
      <c r="Y448" s="4"/>
      <c r="Z448" s="4">
        <f ca="1">('TUSD BE'!$AM$48+'TUSD BF'!$AM$48+'TUSD CVA'!$AM$48)*1</f>
        <v>437.60278231454038</v>
      </c>
      <c r="AA448" s="4">
        <f>('TE BE'!$AB$38+'TE BF'!$AB$38+'TE CVA'!$AB$38)*1</f>
        <v>185.42082399535556</v>
      </c>
      <c r="AB448" s="4">
        <f>$K$448*$V$448</f>
        <v>0</v>
      </c>
      <c r="AC448" s="4">
        <f>$M$448*$W$448</f>
        <v>732.55799999999999</v>
      </c>
      <c r="AD448" s="4">
        <f>$O$448*$X$448</f>
        <v>533.67672000000005</v>
      </c>
      <c r="AE448" s="4">
        <f>$K$448*$Y$448</f>
        <v>0</v>
      </c>
      <c r="AF448" s="4">
        <f ca="1">$M$448*$Z$448</f>
        <v>871.70474237056442</v>
      </c>
      <c r="AG448" s="4">
        <f>$O$448*$AA$448</f>
        <v>369.35828139874826</v>
      </c>
    </row>
    <row r="449" spans="1:33" ht="11.25" customHeight="1" x14ac:dyDescent="0.25">
      <c r="A449" s="3" t="s">
        <v>21</v>
      </c>
      <c r="B449" s="3" t="s">
        <v>33</v>
      </c>
      <c r="C449" s="3" t="s">
        <v>23</v>
      </c>
      <c r="D449" s="3" t="s">
        <v>34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44621</v>
      </c>
      <c r="J449" s="4">
        <v>0</v>
      </c>
      <c r="K449" s="4">
        <v>0</v>
      </c>
      <c r="L449" s="4">
        <v>23.939</v>
      </c>
      <c r="M449" s="4">
        <v>23.939</v>
      </c>
      <c r="N449" s="4">
        <v>23.939</v>
      </c>
      <c r="O449" s="4">
        <v>23.939</v>
      </c>
      <c r="P449" s="4">
        <v>19</v>
      </c>
      <c r="Q449" s="3" t="s">
        <v>26</v>
      </c>
      <c r="R449" s="3">
        <v>0</v>
      </c>
      <c r="S449" s="4">
        <v>0</v>
      </c>
      <c r="T449" s="4">
        <v>26</v>
      </c>
      <c r="U449" s="4">
        <v>81</v>
      </c>
      <c r="V449" s="4">
        <f>IF(ISERROR(VLOOKUP($S$449,'TAR FIN'!$A$1:$O$85,15,0)),0,VLOOKUP($S$449,'TAR FIN'!$A$1:$O$85,15,0))</f>
        <v>0</v>
      </c>
      <c r="W449" s="4">
        <f>IF(ISERROR(VLOOKUP($T$449,'TAR FIN'!$A$1:$O$85,15,0)),0,VLOOKUP($T$449,'TAR FIN'!$A$1:$O$85,15,0))</f>
        <v>367.75</v>
      </c>
      <c r="X449" s="4">
        <f>IF(ISERROR(VLOOKUP($U$449,'TAR FIN'!$A$1:$O$85,15,0)),0,VLOOKUP($U$449,'TAR FIN'!$A$1:$O$85,15,0))</f>
        <v>267.91000000000003</v>
      </c>
      <c r="Y449" s="4"/>
      <c r="Z449" s="4">
        <f ca="1">('TUSD BE'!$AM$48+'TUSD BF'!$AM$48+'TUSD CVA'!$AM$48)*1</f>
        <v>437.60278231454038</v>
      </c>
      <c r="AA449" s="4">
        <f>('TE BE'!$AB$38+'TE BF'!$AB$38+'TE CVA'!$AB$38)*1</f>
        <v>185.42082399535556</v>
      </c>
      <c r="AB449" s="4">
        <f>$K$449*$V$449</f>
        <v>0</v>
      </c>
      <c r="AC449" s="4">
        <f>$M$449*$W$449</f>
        <v>8803.5672500000001</v>
      </c>
      <c r="AD449" s="4">
        <f>$O$449*$X$449</f>
        <v>6413.4974900000007</v>
      </c>
      <c r="AE449" s="4">
        <f>$K$449*$Y$449</f>
        <v>0</v>
      </c>
      <c r="AF449" s="4">
        <f ca="1">$M$449*$Z$449</f>
        <v>10475.773005827783</v>
      </c>
      <c r="AG449" s="4">
        <f>$O$449*$AA$449</f>
        <v>4438.7891056248172</v>
      </c>
    </row>
    <row r="450" spans="1:33" ht="11.25" customHeight="1" x14ac:dyDescent="0.25">
      <c r="A450" s="3" t="s">
        <v>28</v>
      </c>
      <c r="B450" s="3" t="s">
        <v>33</v>
      </c>
      <c r="C450" s="3" t="s">
        <v>23</v>
      </c>
      <c r="D450" s="3" t="s">
        <v>34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44621</v>
      </c>
      <c r="J450" s="4">
        <v>0</v>
      </c>
      <c r="K450" s="4">
        <v>0</v>
      </c>
      <c r="L450" s="4">
        <v>3.339</v>
      </c>
      <c r="M450" s="4">
        <v>3.339</v>
      </c>
      <c r="N450" s="4">
        <v>3.339</v>
      </c>
      <c r="O450" s="4">
        <v>3.339</v>
      </c>
      <c r="P450" s="4">
        <v>1</v>
      </c>
      <c r="Q450" s="3" t="s">
        <v>26</v>
      </c>
      <c r="R450" s="3">
        <v>0</v>
      </c>
      <c r="S450" s="4">
        <v>0</v>
      </c>
      <c r="T450" s="4">
        <v>26</v>
      </c>
      <c r="U450" s="4">
        <v>81</v>
      </c>
      <c r="V450" s="4">
        <f>IF(ISERROR(VLOOKUP($S$450,'TAR FIN'!$A$1:$O$85,15,0)),0,VLOOKUP($S$450,'TAR FIN'!$A$1:$O$85,15,0))</f>
        <v>0</v>
      </c>
      <c r="W450" s="4">
        <f>IF(ISERROR(VLOOKUP($T$450,'TAR FIN'!$A$1:$O$85,15,0)),0,VLOOKUP($T$450,'TAR FIN'!$A$1:$O$85,15,0))</f>
        <v>367.75</v>
      </c>
      <c r="X450" s="4">
        <f>IF(ISERROR(VLOOKUP($U$450,'TAR FIN'!$A$1:$O$85,15,0)),0,VLOOKUP($U$450,'TAR FIN'!$A$1:$O$85,15,0))</f>
        <v>267.91000000000003</v>
      </c>
      <c r="Y450" s="4"/>
      <c r="Z450" s="4">
        <f ca="1">('TUSD BE'!$AM$48+'TUSD BF'!$AM$48+'TUSD CVA'!$AM$48)*1</f>
        <v>437.60278231454038</v>
      </c>
      <c r="AA450" s="4">
        <f>('TE BE'!$AB$38+'TE BF'!$AB$38+'TE CVA'!$AB$38)*1</f>
        <v>185.42082399535556</v>
      </c>
      <c r="AB450" s="4">
        <f>$K$450*$V$450</f>
        <v>0</v>
      </c>
      <c r="AC450" s="4">
        <f>$M$450*$W$450</f>
        <v>1227.91725</v>
      </c>
      <c r="AD450" s="4">
        <f>$O$450*$X$450</f>
        <v>894.55149000000006</v>
      </c>
      <c r="AE450" s="4">
        <f>$K$450*$Y$450</f>
        <v>0</v>
      </c>
      <c r="AF450" s="4">
        <f ca="1">$M$450*$Z$450</f>
        <v>1461.1556901482504</v>
      </c>
      <c r="AG450" s="4">
        <f>$O$450*$AA$450</f>
        <v>619.12013132049219</v>
      </c>
    </row>
    <row r="451" spans="1:33" ht="11.25" customHeight="1" x14ac:dyDescent="0.25">
      <c r="A451" s="3" t="s">
        <v>21</v>
      </c>
      <c r="B451" s="3" t="s">
        <v>33</v>
      </c>
      <c r="C451" s="3" t="s">
        <v>23</v>
      </c>
      <c r="D451" s="3" t="s">
        <v>34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44652</v>
      </c>
      <c r="J451" s="4">
        <v>0</v>
      </c>
      <c r="K451" s="4">
        <v>0</v>
      </c>
      <c r="L451" s="4">
        <v>25.975999999999999</v>
      </c>
      <c r="M451" s="4">
        <v>25.975999999999999</v>
      </c>
      <c r="N451" s="4">
        <v>25.975999999999999</v>
      </c>
      <c r="O451" s="4">
        <v>25.975999999999999</v>
      </c>
      <c r="P451" s="4">
        <v>19</v>
      </c>
      <c r="Q451" s="3" t="s">
        <v>26</v>
      </c>
      <c r="R451" s="3">
        <v>0</v>
      </c>
      <c r="S451" s="4">
        <v>0</v>
      </c>
      <c r="T451" s="4">
        <v>26</v>
      </c>
      <c r="U451" s="4">
        <v>81</v>
      </c>
      <c r="V451" s="4">
        <f>IF(ISERROR(VLOOKUP($S$451,'TAR FIN'!$A$1:$O$85,15,0)),0,VLOOKUP($S$451,'TAR FIN'!$A$1:$O$85,15,0))</f>
        <v>0</v>
      </c>
      <c r="W451" s="4">
        <f>IF(ISERROR(VLOOKUP($T$451,'TAR FIN'!$A$1:$O$85,15,0)),0,VLOOKUP($T$451,'TAR FIN'!$A$1:$O$85,15,0))</f>
        <v>367.75</v>
      </c>
      <c r="X451" s="4">
        <f>IF(ISERROR(VLOOKUP($U$451,'TAR FIN'!$A$1:$O$85,15,0)),0,VLOOKUP($U$451,'TAR FIN'!$A$1:$O$85,15,0))</f>
        <v>267.91000000000003</v>
      </c>
      <c r="Y451" s="4"/>
      <c r="Z451" s="4">
        <f ca="1">('TUSD BE'!$AM$48+'TUSD BF'!$AM$48+'TUSD CVA'!$AM$48)*1</f>
        <v>437.60278231454038</v>
      </c>
      <c r="AA451" s="4">
        <f>('TE BE'!$AB$38+'TE BF'!$AB$38+'TE CVA'!$AB$38)*1</f>
        <v>185.42082399535556</v>
      </c>
      <c r="AB451" s="4">
        <f>$K$451*$V$451</f>
        <v>0</v>
      </c>
      <c r="AC451" s="4">
        <f>$M$451*$W$451</f>
        <v>9552.6739999999991</v>
      </c>
      <c r="AD451" s="4">
        <f>$O$451*$X$451</f>
        <v>6959.2301600000001</v>
      </c>
      <c r="AE451" s="4">
        <f>$K$451*$Y$451</f>
        <v>0</v>
      </c>
      <c r="AF451" s="4">
        <f ca="1">$M$451*$Z$451</f>
        <v>11367.169873402501</v>
      </c>
      <c r="AG451" s="4">
        <f>$O$451*$AA$451</f>
        <v>4816.4913241033555</v>
      </c>
    </row>
    <row r="452" spans="1:33" ht="11.25" customHeight="1" x14ac:dyDescent="0.25">
      <c r="A452" s="3" t="s">
        <v>28</v>
      </c>
      <c r="B452" s="3" t="s">
        <v>33</v>
      </c>
      <c r="C452" s="3" t="s">
        <v>23</v>
      </c>
      <c r="D452" s="3" t="s">
        <v>34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44652</v>
      </c>
      <c r="J452" s="4">
        <v>0</v>
      </c>
      <c r="K452" s="4">
        <v>0</v>
      </c>
      <c r="L452" s="4">
        <v>4.173</v>
      </c>
      <c r="M452" s="4">
        <v>4.173</v>
      </c>
      <c r="N452" s="4">
        <v>4.173</v>
      </c>
      <c r="O452" s="4">
        <v>4.173</v>
      </c>
      <c r="P452" s="4">
        <v>1</v>
      </c>
      <c r="Q452" s="3" t="s">
        <v>26</v>
      </c>
      <c r="R452" s="3">
        <v>0</v>
      </c>
      <c r="S452" s="4">
        <v>0</v>
      </c>
      <c r="T452" s="4">
        <v>26</v>
      </c>
      <c r="U452" s="4">
        <v>81</v>
      </c>
      <c r="V452" s="4">
        <f>IF(ISERROR(VLOOKUP($S$452,'TAR FIN'!$A$1:$O$85,15,0)),0,VLOOKUP($S$452,'TAR FIN'!$A$1:$O$85,15,0))</f>
        <v>0</v>
      </c>
      <c r="W452" s="4">
        <f>IF(ISERROR(VLOOKUP($T$452,'TAR FIN'!$A$1:$O$85,15,0)),0,VLOOKUP($T$452,'TAR FIN'!$A$1:$O$85,15,0))</f>
        <v>367.75</v>
      </c>
      <c r="X452" s="4">
        <f>IF(ISERROR(VLOOKUP($U$452,'TAR FIN'!$A$1:$O$85,15,0)),0,VLOOKUP($U$452,'TAR FIN'!$A$1:$O$85,15,0))</f>
        <v>267.91000000000003</v>
      </c>
      <c r="Y452" s="4"/>
      <c r="Z452" s="4">
        <f ca="1">('TUSD BE'!$AM$48+'TUSD BF'!$AM$48+'TUSD CVA'!$AM$48)*1</f>
        <v>437.60278231454038</v>
      </c>
      <c r="AA452" s="4">
        <f>('TE BE'!$AB$38+'TE BF'!$AB$38+'TE CVA'!$AB$38)*1</f>
        <v>185.42082399535556</v>
      </c>
      <c r="AB452" s="4">
        <f>$K$452*$V$452</f>
        <v>0</v>
      </c>
      <c r="AC452" s="4">
        <f>$M$452*$W$452</f>
        <v>1534.62075</v>
      </c>
      <c r="AD452" s="4">
        <f>$O$452*$X$452</f>
        <v>1117.9884300000001</v>
      </c>
      <c r="AE452" s="4">
        <f>$K$452*$Y$452</f>
        <v>0</v>
      </c>
      <c r="AF452" s="4">
        <f ca="1">$M$452*$Z$452</f>
        <v>1826.116410598577</v>
      </c>
      <c r="AG452" s="4">
        <f>$O$452*$AA$452</f>
        <v>773.7610985326188</v>
      </c>
    </row>
    <row r="453" spans="1:33" ht="11.25" customHeight="1" x14ac:dyDescent="0.25">
      <c r="A453" s="3" t="s">
        <v>21</v>
      </c>
      <c r="B453" s="3" t="s">
        <v>33</v>
      </c>
      <c r="C453" s="3" t="s">
        <v>23</v>
      </c>
      <c r="D453" s="3" t="s">
        <v>34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44682</v>
      </c>
      <c r="J453" s="4">
        <v>0</v>
      </c>
      <c r="K453" s="4">
        <v>0</v>
      </c>
      <c r="L453" s="4">
        <v>23.803999999999998</v>
      </c>
      <c r="M453" s="4">
        <v>23.803999999999998</v>
      </c>
      <c r="N453" s="4">
        <v>23.803999999999998</v>
      </c>
      <c r="O453" s="4">
        <v>23.803999999999998</v>
      </c>
      <c r="P453" s="4">
        <v>19</v>
      </c>
      <c r="Q453" s="3" t="s">
        <v>26</v>
      </c>
      <c r="R453" s="3">
        <v>0</v>
      </c>
      <c r="S453" s="4">
        <v>0</v>
      </c>
      <c r="T453" s="4">
        <v>26</v>
      </c>
      <c r="U453" s="4">
        <v>81</v>
      </c>
      <c r="V453" s="4">
        <f>IF(ISERROR(VLOOKUP($S$453,'TAR FIN'!$A$1:$O$85,15,0)),0,VLOOKUP($S$453,'TAR FIN'!$A$1:$O$85,15,0))</f>
        <v>0</v>
      </c>
      <c r="W453" s="4">
        <f>IF(ISERROR(VLOOKUP($T$453,'TAR FIN'!$A$1:$O$85,15,0)),0,VLOOKUP($T$453,'TAR FIN'!$A$1:$O$85,15,0))</f>
        <v>367.75</v>
      </c>
      <c r="X453" s="4">
        <f>IF(ISERROR(VLOOKUP($U$453,'TAR FIN'!$A$1:$O$85,15,0)),0,VLOOKUP($U$453,'TAR FIN'!$A$1:$O$85,15,0))</f>
        <v>267.91000000000003</v>
      </c>
      <c r="Y453" s="4"/>
      <c r="Z453" s="4">
        <f ca="1">('TUSD BE'!$AM$48+'TUSD BF'!$AM$48+'TUSD CVA'!$AM$48)*1</f>
        <v>437.60278231454038</v>
      </c>
      <c r="AA453" s="4">
        <f>('TE BE'!$AB$38+'TE BF'!$AB$38+'TE CVA'!$AB$38)*1</f>
        <v>185.42082399535556</v>
      </c>
      <c r="AB453" s="4">
        <f>$K$453*$V$453</f>
        <v>0</v>
      </c>
      <c r="AC453" s="4">
        <f>$M$453*$W$453</f>
        <v>8753.9210000000003</v>
      </c>
      <c r="AD453" s="4">
        <f>$O$453*$X$453</f>
        <v>6377.3296399999999</v>
      </c>
      <c r="AE453" s="4">
        <f>$K$453*$Y$453</f>
        <v>0</v>
      </c>
      <c r="AF453" s="4">
        <f ca="1">$M$453*$Z$453</f>
        <v>10416.696630215318</v>
      </c>
      <c r="AG453" s="4">
        <f>$O$453*$AA$453</f>
        <v>4413.7572943854439</v>
      </c>
    </row>
    <row r="454" spans="1:33" ht="11.25" customHeight="1" x14ac:dyDescent="0.25">
      <c r="A454" s="3" t="s">
        <v>28</v>
      </c>
      <c r="B454" s="3" t="s">
        <v>33</v>
      </c>
      <c r="C454" s="3" t="s">
        <v>23</v>
      </c>
      <c r="D454" s="3" t="s">
        <v>34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44682</v>
      </c>
      <c r="J454" s="4">
        <v>0</v>
      </c>
      <c r="K454" s="4">
        <v>0</v>
      </c>
      <c r="L454" s="4">
        <v>2.165</v>
      </c>
      <c r="M454" s="4">
        <v>2.165</v>
      </c>
      <c r="N454" s="4">
        <v>2.165</v>
      </c>
      <c r="O454" s="4">
        <v>2.165</v>
      </c>
      <c r="P454" s="4">
        <v>1</v>
      </c>
      <c r="Q454" s="3" t="s">
        <v>26</v>
      </c>
      <c r="R454" s="3">
        <v>0</v>
      </c>
      <c r="S454" s="4">
        <v>0</v>
      </c>
      <c r="T454" s="4">
        <v>26</v>
      </c>
      <c r="U454" s="4">
        <v>81</v>
      </c>
      <c r="V454" s="4">
        <f>IF(ISERROR(VLOOKUP($S$454,'TAR FIN'!$A$1:$O$85,15,0)),0,VLOOKUP($S$454,'TAR FIN'!$A$1:$O$85,15,0))</f>
        <v>0</v>
      </c>
      <c r="W454" s="4">
        <f>IF(ISERROR(VLOOKUP($T$454,'TAR FIN'!$A$1:$O$85,15,0)),0,VLOOKUP($T$454,'TAR FIN'!$A$1:$O$85,15,0))</f>
        <v>367.75</v>
      </c>
      <c r="X454" s="4">
        <f>IF(ISERROR(VLOOKUP($U$454,'TAR FIN'!$A$1:$O$85,15,0)),0,VLOOKUP($U$454,'TAR FIN'!$A$1:$O$85,15,0))</f>
        <v>267.91000000000003</v>
      </c>
      <c r="Y454" s="4"/>
      <c r="Z454" s="4">
        <f ca="1">('TUSD BE'!$AM$48+'TUSD BF'!$AM$48+'TUSD CVA'!$AM$48)*1</f>
        <v>437.60278231454038</v>
      </c>
      <c r="AA454" s="4">
        <f>('TE BE'!$AB$38+'TE BF'!$AB$38+'TE CVA'!$AB$38)*1</f>
        <v>185.42082399535556</v>
      </c>
      <c r="AB454" s="4">
        <f>$K$454*$V$454</f>
        <v>0</v>
      </c>
      <c r="AC454" s="4">
        <f>$M$454*$W$454</f>
        <v>796.17875000000004</v>
      </c>
      <c r="AD454" s="4">
        <f>$O$454*$X$454</f>
        <v>580.02515000000005</v>
      </c>
      <c r="AE454" s="4">
        <f>$K$454*$Y$454</f>
        <v>0</v>
      </c>
      <c r="AF454" s="4">
        <f ca="1">$M$454*$Z$454</f>
        <v>947.41002371097989</v>
      </c>
      <c r="AG454" s="4">
        <f>$O$454*$AA$454</f>
        <v>401.43608394994482</v>
      </c>
    </row>
    <row r="455" spans="1:33" ht="11.25" customHeight="1" x14ac:dyDescent="0.25">
      <c r="A455" s="3" t="s">
        <v>21</v>
      </c>
      <c r="B455" s="3" t="s">
        <v>33</v>
      </c>
      <c r="C455" s="3" t="s">
        <v>23</v>
      </c>
      <c r="D455" s="3" t="s">
        <v>34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44713</v>
      </c>
      <c r="J455" s="4">
        <v>0</v>
      </c>
      <c r="K455" s="4">
        <v>0</v>
      </c>
      <c r="L455" s="4">
        <v>26.373999999999999</v>
      </c>
      <c r="M455" s="4">
        <v>26.373999999999999</v>
      </c>
      <c r="N455" s="4">
        <v>26.373999999999999</v>
      </c>
      <c r="O455" s="4">
        <v>26.373999999999999</v>
      </c>
      <c r="P455" s="4">
        <v>19</v>
      </c>
      <c r="Q455" s="3" t="s">
        <v>26</v>
      </c>
      <c r="R455" s="3">
        <v>0</v>
      </c>
      <c r="S455" s="4">
        <v>0</v>
      </c>
      <c r="T455" s="4">
        <v>26</v>
      </c>
      <c r="U455" s="4">
        <v>81</v>
      </c>
      <c r="V455" s="4">
        <f>IF(ISERROR(VLOOKUP($S$455,'TAR FIN'!$A$1:$O$85,15,0)),0,VLOOKUP($S$455,'TAR FIN'!$A$1:$O$85,15,0))</f>
        <v>0</v>
      </c>
      <c r="W455" s="4">
        <f>IF(ISERROR(VLOOKUP($T$455,'TAR FIN'!$A$1:$O$85,15,0)),0,VLOOKUP($T$455,'TAR FIN'!$A$1:$O$85,15,0))</f>
        <v>367.75</v>
      </c>
      <c r="X455" s="4">
        <f>IF(ISERROR(VLOOKUP($U$455,'TAR FIN'!$A$1:$O$85,15,0)),0,VLOOKUP($U$455,'TAR FIN'!$A$1:$O$85,15,0))</f>
        <v>267.91000000000003</v>
      </c>
      <c r="Y455" s="4"/>
      <c r="Z455" s="4">
        <f ca="1">('TUSD BE'!$AM$48+'TUSD BF'!$AM$48+'TUSD CVA'!$AM$48)*1</f>
        <v>437.60278231454038</v>
      </c>
      <c r="AA455" s="4">
        <f>('TE BE'!$AB$38+'TE BF'!$AB$38+'TE CVA'!$AB$38)*1</f>
        <v>185.42082399535556</v>
      </c>
      <c r="AB455" s="4">
        <f>$K$455*$V$455</f>
        <v>0</v>
      </c>
      <c r="AC455" s="4">
        <f>$M$455*$W$455</f>
        <v>9699.0384999999987</v>
      </c>
      <c r="AD455" s="4">
        <f>$O$455*$X$455</f>
        <v>7065.8583400000007</v>
      </c>
      <c r="AE455" s="4">
        <f>$K$455*$Y$455</f>
        <v>0</v>
      </c>
      <c r="AF455" s="4">
        <f ca="1">$M$455*$Z$455</f>
        <v>11541.335780763688</v>
      </c>
      <c r="AG455" s="4">
        <f>$O$455*$AA$455</f>
        <v>4890.2888120535072</v>
      </c>
    </row>
    <row r="456" spans="1:33" ht="11.25" customHeight="1" x14ac:dyDescent="0.25">
      <c r="A456" s="3" t="s">
        <v>28</v>
      </c>
      <c r="B456" s="3" t="s">
        <v>33</v>
      </c>
      <c r="C456" s="3" t="s">
        <v>23</v>
      </c>
      <c r="D456" s="3" t="s">
        <v>34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44713</v>
      </c>
      <c r="J456" s="4">
        <v>0</v>
      </c>
      <c r="K456" s="4">
        <v>0</v>
      </c>
      <c r="L456" s="4">
        <v>2.226</v>
      </c>
      <c r="M456" s="4">
        <v>2.226</v>
      </c>
      <c r="N456" s="4">
        <v>2.226</v>
      </c>
      <c r="O456" s="4">
        <v>2.226</v>
      </c>
      <c r="P456" s="4">
        <v>1</v>
      </c>
      <c r="Q456" s="3" t="s">
        <v>26</v>
      </c>
      <c r="R456" s="3">
        <v>0</v>
      </c>
      <c r="S456" s="4">
        <v>0</v>
      </c>
      <c r="T456" s="4">
        <v>26</v>
      </c>
      <c r="U456" s="4">
        <v>81</v>
      </c>
      <c r="V456" s="4">
        <f>IF(ISERROR(VLOOKUP($S$456,'TAR FIN'!$A$1:$O$85,15,0)),0,VLOOKUP($S$456,'TAR FIN'!$A$1:$O$85,15,0))</f>
        <v>0</v>
      </c>
      <c r="W456" s="4">
        <f>IF(ISERROR(VLOOKUP($T$456,'TAR FIN'!$A$1:$O$85,15,0)),0,VLOOKUP($T$456,'TAR FIN'!$A$1:$O$85,15,0))</f>
        <v>367.75</v>
      </c>
      <c r="X456" s="4">
        <f>IF(ISERROR(VLOOKUP($U$456,'TAR FIN'!$A$1:$O$85,15,0)),0,VLOOKUP($U$456,'TAR FIN'!$A$1:$O$85,15,0))</f>
        <v>267.91000000000003</v>
      </c>
      <c r="Y456" s="4"/>
      <c r="Z456" s="4">
        <f ca="1">('TUSD BE'!$AM$48+'TUSD BF'!$AM$48+'TUSD CVA'!$AM$48)*1</f>
        <v>437.60278231454038</v>
      </c>
      <c r="AA456" s="4">
        <f>('TE BE'!$AB$38+'TE BF'!$AB$38+'TE CVA'!$AB$38)*1</f>
        <v>185.42082399535556</v>
      </c>
      <c r="AB456" s="4">
        <f>$K$456*$V$456</f>
        <v>0</v>
      </c>
      <c r="AC456" s="4">
        <f>$M$456*$W$456</f>
        <v>818.61149999999998</v>
      </c>
      <c r="AD456" s="4">
        <f>$O$456*$X$456</f>
        <v>596.36766</v>
      </c>
      <c r="AE456" s="4">
        <f>$K$456*$Y$456</f>
        <v>0</v>
      </c>
      <c r="AF456" s="4">
        <f ca="1">$M$456*$Z$456</f>
        <v>974.10379343216687</v>
      </c>
      <c r="AG456" s="4">
        <f>$O$456*$AA$456</f>
        <v>412.74675421366146</v>
      </c>
    </row>
    <row r="457" spans="1:33" ht="11.25" customHeight="1" x14ac:dyDescent="0.25">
      <c r="A457" s="3" t="s">
        <v>21</v>
      </c>
      <c r="B457" s="3" t="s">
        <v>33</v>
      </c>
      <c r="C457" s="3" t="s">
        <v>23</v>
      </c>
      <c r="D457" s="3" t="s">
        <v>34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44743</v>
      </c>
      <c r="J457" s="4">
        <v>0</v>
      </c>
      <c r="K457" s="4">
        <v>0</v>
      </c>
      <c r="L457" s="4">
        <v>23.061</v>
      </c>
      <c r="M457" s="4">
        <v>23.061</v>
      </c>
      <c r="N457" s="4">
        <v>23.061</v>
      </c>
      <c r="O457" s="4">
        <v>23.061</v>
      </c>
      <c r="P457" s="4">
        <v>20</v>
      </c>
      <c r="Q457" s="3" t="s">
        <v>26</v>
      </c>
      <c r="R457" s="3">
        <v>0</v>
      </c>
      <c r="S457" s="4">
        <v>0</v>
      </c>
      <c r="T457" s="4">
        <v>26</v>
      </c>
      <c r="U457" s="4">
        <v>81</v>
      </c>
      <c r="V457" s="4">
        <f>IF(ISERROR(VLOOKUP($S$457,'TAR FIN'!$A$1:$O$85,15,0)),0,VLOOKUP($S$457,'TAR FIN'!$A$1:$O$85,15,0))</f>
        <v>0</v>
      </c>
      <c r="W457" s="4">
        <f>IF(ISERROR(VLOOKUP($T$457,'TAR FIN'!$A$1:$O$85,15,0)),0,VLOOKUP($T$457,'TAR FIN'!$A$1:$O$85,15,0))</f>
        <v>367.75</v>
      </c>
      <c r="X457" s="4">
        <f>IF(ISERROR(VLOOKUP($U$457,'TAR FIN'!$A$1:$O$85,15,0)),0,VLOOKUP($U$457,'TAR FIN'!$A$1:$O$85,15,0))</f>
        <v>267.91000000000003</v>
      </c>
      <c r="Y457" s="4"/>
      <c r="Z457" s="4">
        <f ca="1">('TUSD BE'!$AM$48+'TUSD BF'!$AM$48+'TUSD CVA'!$AM$48)*1</f>
        <v>437.60278231454038</v>
      </c>
      <c r="AA457" s="4">
        <f>('TE BE'!$AB$38+'TE BF'!$AB$38+'TE CVA'!$AB$38)*1</f>
        <v>185.42082399535556</v>
      </c>
      <c r="AB457" s="4">
        <f>$K$457*$V$457</f>
        <v>0</v>
      </c>
      <c r="AC457" s="4">
        <f>$M$457*$W$457</f>
        <v>8480.6827499999999</v>
      </c>
      <c r="AD457" s="4">
        <f>$O$457*$X$457</f>
        <v>6178.2725100000007</v>
      </c>
      <c r="AE457" s="4">
        <f>$K$457*$Y$457</f>
        <v>0</v>
      </c>
      <c r="AF457" s="4">
        <f ca="1">$M$457*$Z$457</f>
        <v>10091.557762955616</v>
      </c>
      <c r="AG457" s="4">
        <f>$O$457*$AA$457</f>
        <v>4275.9896221568943</v>
      </c>
    </row>
    <row r="458" spans="1:33" ht="11.25" customHeight="1" x14ac:dyDescent="0.25">
      <c r="A458" s="3" t="s">
        <v>28</v>
      </c>
      <c r="B458" s="3" t="s">
        <v>33</v>
      </c>
      <c r="C458" s="3" t="s">
        <v>23</v>
      </c>
      <c r="D458" s="3" t="s">
        <v>34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44743</v>
      </c>
      <c r="J458" s="4">
        <v>0</v>
      </c>
      <c r="K458" s="4">
        <v>0</v>
      </c>
      <c r="L458" s="4">
        <v>3.1360000000000001</v>
      </c>
      <c r="M458" s="4">
        <v>3.1360000000000001</v>
      </c>
      <c r="N458" s="4">
        <v>3.1360000000000001</v>
      </c>
      <c r="O458" s="4">
        <v>3.1360000000000001</v>
      </c>
      <c r="P458" s="4">
        <v>1</v>
      </c>
      <c r="Q458" s="3" t="s">
        <v>26</v>
      </c>
      <c r="R458" s="3">
        <v>0</v>
      </c>
      <c r="S458" s="4">
        <v>0</v>
      </c>
      <c r="T458" s="4">
        <v>26</v>
      </c>
      <c r="U458" s="4">
        <v>81</v>
      </c>
      <c r="V458" s="4">
        <f>IF(ISERROR(VLOOKUP($S$458,'TAR FIN'!$A$1:$O$85,15,0)),0,VLOOKUP($S$458,'TAR FIN'!$A$1:$O$85,15,0))</f>
        <v>0</v>
      </c>
      <c r="W458" s="4">
        <f>IF(ISERROR(VLOOKUP($T$458,'TAR FIN'!$A$1:$O$85,15,0)),0,VLOOKUP($T$458,'TAR FIN'!$A$1:$O$85,15,0))</f>
        <v>367.75</v>
      </c>
      <c r="X458" s="4">
        <f>IF(ISERROR(VLOOKUP($U$458,'TAR FIN'!$A$1:$O$85,15,0)),0,VLOOKUP($U$458,'TAR FIN'!$A$1:$O$85,15,0))</f>
        <v>267.91000000000003</v>
      </c>
      <c r="Y458" s="4"/>
      <c r="Z458" s="4">
        <f ca="1">('TUSD BE'!$AM$48+'TUSD BF'!$AM$48+'TUSD CVA'!$AM$48)*1</f>
        <v>437.60278231454038</v>
      </c>
      <c r="AA458" s="4">
        <f>('TE BE'!$AB$38+'TE BF'!$AB$38+'TE CVA'!$AB$38)*1</f>
        <v>185.42082399535556</v>
      </c>
      <c r="AB458" s="4">
        <f>$K$458*$V$458</f>
        <v>0</v>
      </c>
      <c r="AC458" s="4">
        <f>$M$458*$W$458</f>
        <v>1153.2640000000001</v>
      </c>
      <c r="AD458" s="4">
        <f>$O$458*$X$458</f>
        <v>840.16576000000009</v>
      </c>
      <c r="AE458" s="4">
        <f>$K$458*$Y$458</f>
        <v>0</v>
      </c>
      <c r="AF458" s="4">
        <f ca="1">$M$458*$Z$458</f>
        <v>1372.3223253383987</v>
      </c>
      <c r="AG458" s="4">
        <f>$O$458*$AA$458</f>
        <v>581.4797040494351</v>
      </c>
    </row>
    <row r="459" spans="1:33" ht="11.25" customHeight="1" x14ac:dyDescent="0.25">
      <c r="A459" s="3" t="s">
        <v>21</v>
      </c>
      <c r="B459" s="3" t="s">
        <v>33</v>
      </c>
      <c r="C459" s="3" t="s">
        <v>23</v>
      </c>
      <c r="D459" s="3" t="s">
        <v>34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44774</v>
      </c>
      <c r="J459" s="4">
        <v>0</v>
      </c>
      <c r="K459" s="4">
        <v>0</v>
      </c>
      <c r="L459" s="4">
        <v>22.222000000000001</v>
      </c>
      <c r="M459" s="4">
        <v>22.222000000000001</v>
      </c>
      <c r="N459" s="4">
        <v>22.222000000000001</v>
      </c>
      <c r="O459" s="4">
        <v>22.222000000000001</v>
      </c>
      <c r="P459" s="4">
        <v>20</v>
      </c>
      <c r="Q459" s="3" t="s">
        <v>26</v>
      </c>
      <c r="R459" s="3">
        <v>0</v>
      </c>
      <c r="S459" s="4">
        <v>0</v>
      </c>
      <c r="T459" s="4">
        <v>26</v>
      </c>
      <c r="U459" s="4">
        <v>81</v>
      </c>
      <c r="V459" s="4">
        <f>IF(ISERROR(VLOOKUP($S$459,'TAR FIN'!$A$1:$O$85,15,0)),0,VLOOKUP($S$459,'TAR FIN'!$A$1:$O$85,15,0))</f>
        <v>0</v>
      </c>
      <c r="W459" s="4">
        <f>IF(ISERROR(VLOOKUP($T$459,'TAR FIN'!$A$1:$O$85,15,0)),0,VLOOKUP($T$459,'TAR FIN'!$A$1:$O$85,15,0))</f>
        <v>367.75</v>
      </c>
      <c r="X459" s="4">
        <f>IF(ISERROR(VLOOKUP($U$459,'TAR FIN'!$A$1:$O$85,15,0)),0,VLOOKUP($U$459,'TAR FIN'!$A$1:$O$85,15,0))</f>
        <v>267.91000000000003</v>
      </c>
      <c r="Y459" s="4"/>
      <c r="Z459" s="4">
        <f ca="1">('TUSD BE'!$AM$48+'TUSD BF'!$AM$48+'TUSD CVA'!$AM$48)*1</f>
        <v>437.60278231454038</v>
      </c>
      <c r="AA459" s="4">
        <f>('TE BE'!$AB$38+'TE BF'!$AB$38+'TE CVA'!$AB$38)*1</f>
        <v>185.42082399535556</v>
      </c>
      <c r="AB459" s="4">
        <f>$K$459*$V$459</f>
        <v>0</v>
      </c>
      <c r="AC459" s="4">
        <f>$M$459*$W$459</f>
        <v>8172.1405000000004</v>
      </c>
      <c r="AD459" s="4">
        <f>$O$459*$X$459</f>
        <v>5953.4960200000005</v>
      </c>
      <c r="AE459" s="4">
        <f>$K$459*$Y$459</f>
        <v>0</v>
      </c>
      <c r="AF459" s="4">
        <f ca="1">$M$459*$Z$459</f>
        <v>9724.4090285937164</v>
      </c>
      <c r="AG459" s="4">
        <f>$O$459*$AA$459</f>
        <v>4120.4215508247917</v>
      </c>
    </row>
    <row r="460" spans="1:33" ht="11.25" customHeight="1" x14ac:dyDescent="0.25">
      <c r="A460" s="3" t="s">
        <v>28</v>
      </c>
      <c r="B460" s="3" t="s">
        <v>33</v>
      </c>
      <c r="C460" s="3" t="s">
        <v>23</v>
      </c>
      <c r="D460" s="3" t="s">
        <v>34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44774</v>
      </c>
      <c r="J460" s="4">
        <v>0</v>
      </c>
      <c r="K460" s="4">
        <v>0</v>
      </c>
      <c r="L460" s="4">
        <v>2.8940000000000001</v>
      </c>
      <c r="M460" s="4">
        <v>2.8940000000000001</v>
      </c>
      <c r="N460" s="4">
        <v>2.8940000000000001</v>
      </c>
      <c r="O460" s="4">
        <v>2.8940000000000001</v>
      </c>
      <c r="P460" s="4">
        <v>1</v>
      </c>
      <c r="Q460" s="3" t="s">
        <v>26</v>
      </c>
      <c r="R460" s="3">
        <v>0</v>
      </c>
      <c r="S460" s="4">
        <v>0</v>
      </c>
      <c r="T460" s="4">
        <v>26</v>
      </c>
      <c r="U460" s="4">
        <v>81</v>
      </c>
      <c r="V460" s="4">
        <f>IF(ISERROR(VLOOKUP($S$460,'TAR FIN'!$A$1:$O$85,15,0)),0,VLOOKUP($S$460,'TAR FIN'!$A$1:$O$85,15,0))</f>
        <v>0</v>
      </c>
      <c r="W460" s="4">
        <f>IF(ISERROR(VLOOKUP($T$460,'TAR FIN'!$A$1:$O$85,15,0)),0,VLOOKUP($T$460,'TAR FIN'!$A$1:$O$85,15,0))</f>
        <v>367.75</v>
      </c>
      <c r="X460" s="4">
        <f>IF(ISERROR(VLOOKUP($U$460,'TAR FIN'!$A$1:$O$85,15,0)),0,VLOOKUP($U$460,'TAR FIN'!$A$1:$O$85,15,0))</f>
        <v>267.91000000000003</v>
      </c>
      <c r="Y460" s="4"/>
      <c r="Z460" s="4">
        <f ca="1">('TUSD BE'!$AM$48+'TUSD BF'!$AM$48+'TUSD CVA'!$AM$48)*1</f>
        <v>437.60278231454038</v>
      </c>
      <c r="AA460" s="4">
        <f>('TE BE'!$AB$38+'TE BF'!$AB$38+'TE CVA'!$AB$38)*1</f>
        <v>185.42082399535556</v>
      </c>
      <c r="AB460" s="4">
        <f>$K$460*$V$460</f>
        <v>0</v>
      </c>
      <c r="AC460" s="4">
        <f>$M$460*$W$460</f>
        <v>1064.2685000000001</v>
      </c>
      <c r="AD460" s="4">
        <f>$O$460*$X$460</f>
        <v>775.33154000000013</v>
      </c>
      <c r="AE460" s="4">
        <f>$K$460*$Y$460</f>
        <v>0</v>
      </c>
      <c r="AF460" s="4">
        <f ca="1">$M$460*$Z$460</f>
        <v>1266.42245201828</v>
      </c>
      <c r="AG460" s="4">
        <f>$O$460*$AA$460</f>
        <v>536.60786464255898</v>
      </c>
    </row>
    <row r="461" spans="1:33" ht="11.25" customHeight="1" x14ac:dyDescent="0.25">
      <c r="A461" s="3" t="s">
        <v>21</v>
      </c>
      <c r="B461" s="3" t="s">
        <v>33</v>
      </c>
      <c r="C461" s="3" t="s">
        <v>23</v>
      </c>
      <c r="D461" s="3" t="s">
        <v>42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44440</v>
      </c>
      <c r="J461" s="4">
        <v>0</v>
      </c>
      <c r="K461" s="4">
        <v>0</v>
      </c>
      <c r="L461" s="4">
        <v>2.6970000000000001</v>
      </c>
      <c r="M461" s="4">
        <v>2.6970000000000001</v>
      </c>
      <c r="N461" s="4">
        <v>2.6970000000000001</v>
      </c>
      <c r="O461" s="4">
        <v>2.6970000000000001</v>
      </c>
      <c r="P461" s="4">
        <v>11</v>
      </c>
      <c r="Q461" s="3" t="s">
        <v>26</v>
      </c>
      <c r="R461" s="3">
        <v>0</v>
      </c>
      <c r="S461" s="4">
        <v>0</v>
      </c>
      <c r="T461" s="4">
        <v>26</v>
      </c>
      <c r="U461" s="4">
        <v>81</v>
      </c>
      <c r="V461" s="4">
        <f>IF(ISERROR(VLOOKUP($S$461,'TAR FIN'!$A$1:$O$85,15,0)),0,VLOOKUP($S$461,'TAR FIN'!$A$1:$O$85,15,0))</f>
        <v>0</v>
      </c>
      <c r="W461" s="4">
        <f>IF(ISERROR(VLOOKUP($T$461,'TAR FIN'!$A$1:$O$85,15,0)),0,VLOOKUP($T$461,'TAR FIN'!$A$1:$O$85,15,0))</f>
        <v>367.75</v>
      </c>
      <c r="X461" s="4">
        <f>IF(ISERROR(VLOOKUP($U$461,'TAR FIN'!$A$1:$O$85,15,0)),0,VLOOKUP($U$461,'TAR FIN'!$A$1:$O$85,15,0))</f>
        <v>267.91000000000003</v>
      </c>
      <c r="Y461" s="4"/>
      <c r="Z461" s="4">
        <f ca="1">('TUSD BE'!$AM$48+'TUSD BF'!$AM$48+'TUSD CVA'!$AM$48)*1</f>
        <v>437.60278231454038</v>
      </c>
      <c r="AA461" s="4">
        <f>('TE BE'!$AB$38+'TE BF'!$AB$38+'TE CVA'!$AB$38)*1</f>
        <v>185.42082399535556</v>
      </c>
      <c r="AB461" s="4">
        <f>$K$461*$V$461</f>
        <v>0</v>
      </c>
      <c r="AC461" s="4">
        <f>$M$461*$W$461</f>
        <v>991.82175000000007</v>
      </c>
      <c r="AD461" s="4">
        <f>$O$461*$X$461</f>
        <v>722.55327000000011</v>
      </c>
      <c r="AE461" s="4">
        <f>$K$461*$Y$461</f>
        <v>0</v>
      </c>
      <c r="AF461" s="4">
        <f ca="1">$M$461*$Z$461</f>
        <v>1180.2147039023155</v>
      </c>
      <c r="AG461" s="4">
        <f>$O$461*$AA$461</f>
        <v>500.07996231547395</v>
      </c>
    </row>
    <row r="462" spans="1:33" ht="11.25" customHeight="1" x14ac:dyDescent="0.25">
      <c r="A462" s="3" t="s">
        <v>21</v>
      </c>
      <c r="B462" s="3" t="s">
        <v>33</v>
      </c>
      <c r="C462" s="3" t="s">
        <v>23</v>
      </c>
      <c r="D462" s="3" t="s">
        <v>42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44470</v>
      </c>
      <c r="J462" s="4">
        <v>0</v>
      </c>
      <c r="K462" s="4">
        <v>0</v>
      </c>
      <c r="L462" s="4">
        <v>3.528</v>
      </c>
      <c r="M462" s="4">
        <v>3.528</v>
      </c>
      <c r="N462" s="4">
        <v>3.528</v>
      </c>
      <c r="O462" s="4">
        <v>3.528</v>
      </c>
      <c r="P462" s="4">
        <v>10</v>
      </c>
      <c r="Q462" s="3" t="s">
        <v>26</v>
      </c>
      <c r="R462" s="3">
        <v>0</v>
      </c>
      <c r="S462" s="4">
        <v>0</v>
      </c>
      <c r="T462" s="4">
        <v>26</v>
      </c>
      <c r="U462" s="4">
        <v>81</v>
      </c>
      <c r="V462" s="4">
        <f>IF(ISERROR(VLOOKUP($S$462,'TAR FIN'!$A$1:$O$85,15,0)),0,VLOOKUP($S$462,'TAR FIN'!$A$1:$O$85,15,0))</f>
        <v>0</v>
      </c>
      <c r="W462" s="4">
        <f>IF(ISERROR(VLOOKUP($T$462,'TAR FIN'!$A$1:$O$85,15,0)),0,VLOOKUP($T$462,'TAR FIN'!$A$1:$O$85,15,0))</f>
        <v>367.75</v>
      </c>
      <c r="X462" s="4">
        <f>IF(ISERROR(VLOOKUP($U$462,'TAR FIN'!$A$1:$O$85,15,0)),0,VLOOKUP($U$462,'TAR FIN'!$A$1:$O$85,15,0))</f>
        <v>267.91000000000003</v>
      </c>
      <c r="Y462" s="4"/>
      <c r="Z462" s="4">
        <f ca="1">('TUSD BE'!$AM$48+'TUSD BF'!$AM$48+'TUSD CVA'!$AM$48)*1</f>
        <v>437.60278231454038</v>
      </c>
      <c r="AA462" s="4">
        <f>('TE BE'!$AB$38+'TE BF'!$AB$38+'TE CVA'!$AB$38)*1</f>
        <v>185.42082399535556</v>
      </c>
      <c r="AB462" s="4">
        <f>$K$462*$V$462</f>
        <v>0</v>
      </c>
      <c r="AC462" s="4">
        <f>$M$462*$W$462</f>
        <v>1297.422</v>
      </c>
      <c r="AD462" s="4">
        <f>$O$462*$X$462</f>
        <v>945.18648000000007</v>
      </c>
      <c r="AE462" s="4">
        <f>$K$462*$Y$462</f>
        <v>0</v>
      </c>
      <c r="AF462" s="4">
        <f ca="1">$M$462*$Z$462</f>
        <v>1543.8626160056986</v>
      </c>
      <c r="AG462" s="4">
        <f>$O$462*$AA$462</f>
        <v>654.16466705561447</v>
      </c>
    </row>
    <row r="463" spans="1:33" ht="11.25" customHeight="1" x14ac:dyDescent="0.25">
      <c r="A463" s="3" t="s">
        <v>21</v>
      </c>
      <c r="B463" s="3" t="s">
        <v>33</v>
      </c>
      <c r="C463" s="3" t="s">
        <v>23</v>
      </c>
      <c r="D463" s="3" t="s">
        <v>42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44501</v>
      </c>
      <c r="J463" s="4">
        <v>0</v>
      </c>
      <c r="K463" s="4">
        <v>0</v>
      </c>
      <c r="L463" s="4">
        <v>3.2440000000000002</v>
      </c>
      <c r="M463" s="4">
        <v>3.2440000000000002</v>
      </c>
      <c r="N463" s="4">
        <v>3.2440000000000002</v>
      </c>
      <c r="O463" s="4">
        <v>3.2440000000000002</v>
      </c>
      <c r="P463" s="4">
        <v>10</v>
      </c>
      <c r="Q463" s="3" t="s">
        <v>26</v>
      </c>
      <c r="R463" s="3">
        <v>0</v>
      </c>
      <c r="S463" s="4">
        <v>0</v>
      </c>
      <c r="T463" s="4">
        <v>26</v>
      </c>
      <c r="U463" s="4">
        <v>81</v>
      </c>
      <c r="V463" s="4">
        <f>IF(ISERROR(VLOOKUP($S$463,'TAR FIN'!$A$1:$O$85,15,0)),0,VLOOKUP($S$463,'TAR FIN'!$A$1:$O$85,15,0))</f>
        <v>0</v>
      </c>
      <c r="W463" s="4">
        <f>IF(ISERROR(VLOOKUP($T$463,'TAR FIN'!$A$1:$O$85,15,0)),0,VLOOKUP($T$463,'TAR FIN'!$A$1:$O$85,15,0))</f>
        <v>367.75</v>
      </c>
      <c r="X463" s="4">
        <f>IF(ISERROR(VLOOKUP($U$463,'TAR FIN'!$A$1:$O$85,15,0)),0,VLOOKUP($U$463,'TAR FIN'!$A$1:$O$85,15,0))</f>
        <v>267.91000000000003</v>
      </c>
      <c r="Y463" s="4"/>
      <c r="Z463" s="4">
        <f ca="1">('TUSD BE'!$AM$48+'TUSD BF'!$AM$48+'TUSD CVA'!$AM$48)*1</f>
        <v>437.60278231454038</v>
      </c>
      <c r="AA463" s="4">
        <f>('TE BE'!$AB$38+'TE BF'!$AB$38+'TE CVA'!$AB$38)*1</f>
        <v>185.42082399535556</v>
      </c>
      <c r="AB463" s="4">
        <f>$K$463*$V$463</f>
        <v>0</v>
      </c>
      <c r="AC463" s="4">
        <f>$M$463*$W$463</f>
        <v>1192.981</v>
      </c>
      <c r="AD463" s="4">
        <f>$O$463*$X$463</f>
        <v>869.10004000000015</v>
      </c>
      <c r="AE463" s="4">
        <f>$K$463*$Y$463</f>
        <v>0</v>
      </c>
      <c r="AF463" s="4">
        <f ca="1">$M$463*$Z$463</f>
        <v>1419.5834258283692</v>
      </c>
      <c r="AG463" s="4">
        <f>$O$463*$AA$463</f>
        <v>601.50515304093346</v>
      </c>
    </row>
    <row r="464" spans="1:33" ht="11.25" customHeight="1" x14ac:dyDescent="0.25">
      <c r="A464" s="3" t="s">
        <v>21</v>
      </c>
      <c r="B464" s="3" t="s">
        <v>33</v>
      </c>
      <c r="C464" s="3" t="s">
        <v>23</v>
      </c>
      <c r="D464" s="3" t="s">
        <v>42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44531</v>
      </c>
      <c r="J464" s="4">
        <v>0</v>
      </c>
      <c r="K464" s="4">
        <v>0</v>
      </c>
      <c r="L464" s="4">
        <v>4.3159999999999998</v>
      </c>
      <c r="M464" s="4">
        <v>4.3159999999999998</v>
      </c>
      <c r="N464" s="4">
        <v>4.3159999999999998</v>
      </c>
      <c r="O464" s="4">
        <v>4.3159999999999998</v>
      </c>
      <c r="P464" s="4">
        <v>10</v>
      </c>
      <c r="Q464" s="3" t="s">
        <v>26</v>
      </c>
      <c r="R464" s="3">
        <v>0</v>
      </c>
      <c r="S464" s="4">
        <v>0</v>
      </c>
      <c r="T464" s="4">
        <v>26</v>
      </c>
      <c r="U464" s="4">
        <v>81</v>
      </c>
      <c r="V464" s="4">
        <f>IF(ISERROR(VLOOKUP($S$464,'TAR FIN'!$A$1:$O$85,15,0)),0,VLOOKUP($S$464,'TAR FIN'!$A$1:$O$85,15,0))</f>
        <v>0</v>
      </c>
      <c r="W464" s="4">
        <f>IF(ISERROR(VLOOKUP($T$464,'TAR FIN'!$A$1:$O$85,15,0)),0,VLOOKUP($T$464,'TAR FIN'!$A$1:$O$85,15,0))</f>
        <v>367.75</v>
      </c>
      <c r="X464" s="4">
        <f>IF(ISERROR(VLOOKUP($U$464,'TAR FIN'!$A$1:$O$85,15,0)),0,VLOOKUP($U$464,'TAR FIN'!$A$1:$O$85,15,0))</f>
        <v>267.91000000000003</v>
      </c>
      <c r="Y464" s="4"/>
      <c r="Z464" s="4">
        <f ca="1">('TUSD BE'!$AM$48+'TUSD BF'!$AM$48+'TUSD CVA'!$AM$48)*1</f>
        <v>437.60278231454038</v>
      </c>
      <c r="AA464" s="4">
        <f>('TE BE'!$AB$38+'TE BF'!$AB$38+'TE CVA'!$AB$38)*1</f>
        <v>185.42082399535556</v>
      </c>
      <c r="AB464" s="4">
        <f>$K$464*$V$464</f>
        <v>0</v>
      </c>
      <c r="AC464" s="4">
        <f>$M$464*$W$464</f>
        <v>1587.2089999999998</v>
      </c>
      <c r="AD464" s="4">
        <f>$O$464*$X$464</f>
        <v>1156.2995600000002</v>
      </c>
      <c r="AE464" s="4">
        <f>$K$464*$Y$464</f>
        <v>0</v>
      </c>
      <c r="AF464" s="4">
        <f ca="1">$M$464*$Z$464</f>
        <v>1888.6936084695562</v>
      </c>
      <c r="AG464" s="4">
        <f>$O$464*$AA$464</f>
        <v>800.27627636395459</v>
      </c>
    </row>
    <row r="465" spans="1:33" ht="11.25" customHeight="1" x14ac:dyDescent="0.25">
      <c r="A465" s="3" t="s">
        <v>21</v>
      </c>
      <c r="B465" s="3" t="s">
        <v>33</v>
      </c>
      <c r="C465" s="3" t="s">
        <v>23</v>
      </c>
      <c r="D465" s="3" t="s">
        <v>42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44562</v>
      </c>
      <c r="J465" s="4">
        <v>0</v>
      </c>
      <c r="K465" s="4">
        <v>0</v>
      </c>
      <c r="L465" s="4">
        <v>3.3170000000000002</v>
      </c>
      <c r="M465" s="4">
        <v>3.3170000000000002</v>
      </c>
      <c r="N465" s="4">
        <v>3.3170000000000002</v>
      </c>
      <c r="O465" s="4">
        <v>3.3170000000000002</v>
      </c>
      <c r="P465" s="4">
        <v>10</v>
      </c>
      <c r="Q465" s="3" t="s">
        <v>26</v>
      </c>
      <c r="R465" s="3">
        <v>0</v>
      </c>
      <c r="S465" s="4">
        <v>0</v>
      </c>
      <c r="T465" s="4">
        <v>26</v>
      </c>
      <c r="U465" s="4">
        <v>81</v>
      </c>
      <c r="V465" s="4">
        <f>IF(ISERROR(VLOOKUP($S$465,'TAR FIN'!$A$1:$O$85,15,0)),0,VLOOKUP($S$465,'TAR FIN'!$A$1:$O$85,15,0))</f>
        <v>0</v>
      </c>
      <c r="W465" s="4">
        <f>IF(ISERROR(VLOOKUP($T$465,'TAR FIN'!$A$1:$O$85,15,0)),0,VLOOKUP($T$465,'TAR FIN'!$A$1:$O$85,15,0))</f>
        <v>367.75</v>
      </c>
      <c r="X465" s="4">
        <f>IF(ISERROR(VLOOKUP($U$465,'TAR FIN'!$A$1:$O$85,15,0)),0,VLOOKUP($U$465,'TAR FIN'!$A$1:$O$85,15,0))</f>
        <v>267.91000000000003</v>
      </c>
      <c r="Y465" s="4"/>
      <c r="Z465" s="4">
        <f ca="1">('TUSD BE'!$AM$48+'TUSD BF'!$AM$48+'TUSD CVA'!$AM$48)*1</f>
        <v>437.60278231454038</v>
      </c>
      <c r="AA465" s="4">
        <f>('TE BE'!$AB$38+'TE BF'!$AB$38+'TE CVA'!$AB$38)*1</f>
        <v>185.42082399535556</v>
      </c>
      <c r="AB465" s="4">
        <f>$K$465*$V$465</f>
        <v>0</v>
      </c>
      <c r="AC465" s="4">
        <f>$M$465*$W$465</f>
        <v>1219.8267500000002</v>
      </c>
      <c r="AD465" s="4">
        <f>$O$465*$X$465</f>
        <v>888.6574700000001</v>
      </c>
      <c r="AE465" s="4">
        <f>$K$465*$Y$465</f>
        <v>0</v>
      </c>
      <c r="AF465" s="4">
        <f ca="1">$M$465*$Z$465</f>
        <v>1451.5284289373305</v>
      </c>
      <c r="AG465" s="4">
        <f>$O$465*$AA$465</f>
        <v>615.0408731925944</v>
      </c>
    </row>
    <row r="466" spans="1:33" ht="11.25" customHeight="1" x14ac:dyDescent="0.25">
      <c r="A466" s="3" t="s">
        <v>21</v>
      </c>
      <c r="B466" s="3" t="s">
        <v>33</v>
      </c>
      <c r="C466" s="3" t="s">
        <v>23</v>
      </c>
      <c r="D466" s="3" t="s">
        <v>42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44593</v>
      </c>
      <c r="J466" s="4">
        <v>0</v>
      </c>
      <c r="K466" s="4">
        <v>0</v>
      </c>
      <c r="L466" s="4">
        <v>3.4630000000000001</v>
      </c>
      <c r="M466" s="4">
        <v>3.4630000000000001</v>
      </c>
      <c r="N466" s="4">
        <v>3.4630000000000001</v>
      </c>
      <c r="O466" s="4">
        <v>3.4630000000000001</v>
      </c>
      <c r="P466" s="4">
        <v>10</v>
      </c>
      <c r="Q466" s="3" t="s">
        <v>26</v>
      </c>
      <c r="R466" s="3">
        <v>0</v>
      </c>
      <c r="S466" s="4">
        <v>0</v>
      </c>
      <c r="T466" s="4">
        <v>26</v>
      </c>
      <c r="U466" s="4">
        <v>81</v>
      </c>
      <c r="V466" s="4">
        <f>IF(ISERROR(VLOOKUP($S$466,'TAR FIN'!$A$1:$O$85,15,0)),0,VLOOKUP($S$466,'TAR FIN'!$A$1:$O$85,15,0))</f>
        <v>0</v>
      </c>
      <c r="W466" s="4">
        <f>IF(ISERROR(VLOOKUP($T$466,'TAR FIN'!$A$1:$O$85,15,0)),0,VLOOKUP($T$466,'TAR FIN'!$A$1:$O$85,15,0))</f>
        <v>367.75</v>
      </c>
      <c r="X466" s="4">
        <f>IF(ISERROR(VLOOKUP($U$466,'TAR FIN'!$A$1:$O$85,15,0)),0,VLOOKUP($U$466,'TAR FIN'!$A$1:$O$85,15,0))</f>
        <v>267.91000000000003</v>
      </c>
      <c r="Y466" s="4"/>
      <c r="Z466" s="4">
        <f ca="1">('TUSD BE'!$AM$48+'TUSD BF'!$AM$48+'TUSD CVA'!$AM$48)*1</f>
        <v>437.60278231454038</v>
      </c>
      <c r="AA466" s="4">
        <f>('TE BE'!$AB$38+'TE BF'!$AB$38+'TE CVA'!$AB$38)*1</f>
        <v>185.42082399535556</v>
      </c>
      <c r="AB466" s="4">
        <f>$K$466*$V$466</f>
        <v>0</v>
      </c>
      <c r="AC466" s="4">
        <f>$M$466*$W$466</f>
        <v>1273.5182500000001</v>
      </c>
      <c r="AD466" s="4">
        <f>$O$466*$X$466</f>
        <v>927.77233000000012</v>
      </c>
      <c r="AE466" s="4">
        <f>$K$466*$Y$466</f>
        <v>0</v>
      </c>
      <c r="AF466" s="4">
        <f ca="1">$M$466*$Z$466</f>
        <v>1515.4184351552533</v>
      </c>
      <c r="AG466" s="4">
        <f>$O$466*$AA$466</f>
        <v>642.11231349591628</v>
      </c>
    </row>
    <row r="467" spans="1:33" ht="11.25" customHeight="1" x14ac:dyDescent="0.25">
      <c r="A467" s="3" t="s">
        <v>21</v>
      </c>
      <c r="B467" s="3" t="s">
        <v>33</v>
      </c>
      <c r="C467" s="3" t="s">
        <v>23</v>
      </c>
      <c r="D467" s="3" t="s">
        <v>42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44621</v>
      </c>
      <c r="J467" s="4">
        <v>0</v>
      </c>
      <c r="K467" s="4">
        <v>0</v>
      </c>
      <c r="L467" s="4">
        <v>5.258</v>
      </c>
      <c r="M467" s="4">
        <v>5.258</v>
      </c>
      <c r="N467" s="4">
        <v>5.258</v>
      </c>
      <c r="O467" s="4">
        <v>5.258</v>
      </c>
      <c r="P467" s="4">
        <v>10</v>
      </c>
      <c r="Q467" s="3" t="s">
        <v>26</v>
      </c>
      <c r="R467" s="3">
        <v>0</v>
      </c>
      <c r="S467" s="4">
        <v>0</v>
      </c>
      <c r="T467" s="4">
        <v>26</v>
      </c>
      <c r="U467" s="4">
        <v>81</v>
      </c>
      <c r="V467" s="4">
        <f>IF(ISERROR(VLOOKUP($S$467,'TAR FIN'!$A$1:$O$85,15,0)),0,VLOOKUP($S$467,'TAR FIN'!$A$1:$O$85,15,0))</f>
        <v>0</v>
      </c>
      <c r="W467" s="4">
        <f>IF(ISERROR(VLOOKUP($T$467,'TAR FIN'!$A$1:$O$85,15,0)),0,VLOOKUP($T$467,'TAR FIN'!$A$1:$O$85,15,0))</f>
        <v>367.75</v>
      </c>
      <c r="X467" s="4">
        <f>IF(ISERROR(VLOOKUP($U$467,'TAR FIN'!$A$1:$O$85,15,0)),0,VLOOKUP($U$467,'TAR FIN'!$A$1:$O$85,15,0))</f>
        <v>267.91000000000003</v>
      </c>
      <c r="Y467" s="4"/>
      <c r="Z467" s="4">
        <f ca="1">('TUSD BE'!$AM$48+'TUSD BF'!$AM$48+'TUSD CVA'!$AM$48)*1</f>
        <v>437.60278231454038</v>
      </c>
      <c r="AA467" s="4">
        <f>('TE BE'!$AB$38+'TE BF'!$AB$38+'TE CVA'!$AB$38)*1</f>
        <v>185.42082399535556</v>
      </c>
      <c r="AB467" s="4">
        <f>$K$467*$V$467</f>
        <v>0</v>
      </c>
      <c r="AC467" s="4">
        <f>$M$467*$W$467</f>
        <v>1933.6295</v>
      </c>
      <c r="AD467" s="4">
        <f>$O$467*$X$467</f>
        <v>1408.6707800000001</v>
      </c>
      <c r="AE467" s="4">
        <f>$K$467*$Y$467</f>
        <v>0</v>
      </c>
      <c r="AF467" s="4">
        <f ca="1">$M$467*$Z$467</f>
        <v>2300.9154294098535</v>
      </c>
      <c r="AG467" s="4">
        <f>$O$467*$AA$467</f>
        <v>974.94269256757957</v>
      </c>
    </row>
    <row r="468" spans="1:33" ht="11.25" customHeight="1" x14ac:dyDescent="0.25">
      <c r="A468" s="3" t="s">
        <v>21</v>
      </c>
      <c r="B468" s="3" t="s">
        <v>33</v>
      </c>
      <c r="C468" s="3" t="s">
        <v>23</v>
      </c>
      <c r="D468" s="3" t="s">
        <v>42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44652</v>
      </c>
      <c r="J468" s="4">
        <v>0</v>
      </c>
      <c r="K468" s="4">
        <v>0</v>
      </c>
      <c r="L468" s="4">
        <v>5.5819999999999999</v>
      </c>
      <c r="M468" s="4">
        <v>5.5819999999999999</v>
      </c>
      <c r="N468" s="4">
        <v>5.5819999999999999</v>
      </c>
      <c r="O468" s="4">
        <v>5.5819999999999999</v>
      </c>
      <c r="P468" s="4">
        <v>10</v>
      </c>
      <c r="Q468" s="3" t="s">
        <v>26</v>
      </c>
      <c r="R468" s="3">
        <v>0</v>
      </c>
      <c r="S468" s="4">
        <v>0</v>
      </c>
      <c r="T468" s="4">
        <v>26</v>
      </c>
      <c r="U468" s="4">
        <v>81</v>
      </c>
      <c r="V468" s="4">
        <f>IF(ISERROR(VLOOKUP($S$468,'TAR FIN'!$A$1:$O$85,15,0)),0,VLOOKUP($S$468,'TAR FIN'!$A$1:$O$85,15,0))</f>
        <v>0</v>
      </c>
      <c r="W468" s="4">
        <f>IF(ISERROR(VLOOKUP($T$468,'TAR FIN'!$A$1:$O$85,15,0)),0,VLOOKUP($T$468,'TAR FIN'!$A$1:$O$85,15,0))</f>
        <v>367.75</v>
      </c>
      <c r="X468" s="4">
        <f>IF(ISERROR(VLOOKUP($U$468,'TAR FIN'!$A$1:$O$85,15,0)),0,VLOOKUP($U$468,'TAR FIN'!$A$1:$O$85,15,0))</f>
        <v>267.91000000000003</v>
      </c>
      <c r="Y468" s="4"/>
      <c r="Z468" s="4">
        <f ca="1">('TUSD BE'!$AM$48+'TUSD BF'!$AM$48+'TUSD CVA'!$AM$48)*1</f>
        <v>437.60278231454038</v>
      </c>
      <c r="AA468" s="4">
        <f>('TE BE'!$AB$38+'TE BF'!$AB$38+'TE CVA'!$AB$38)*1</f>
        <v>185.42082399535556</v>
      </c>
      <c r="AB468" s="4">
        <f>$K$468*$V$468</f>
        <v>0</v>
      </c>
      <c r="AC468" s="4">
        <f>$M$468*$W$468</f>
        <v>2052.7804999999998</v>
      </c>
      <c r="AD468" s="4">
        <f>$O$468*$X$468</f>
        <v>1495.4736200000002</v>
      </c>
      <c r="AE468" s="4">
        <f>$K$468*$Y$468</f>
        <v>0</v>
      </c>
      <c r="AF468" s="4">
        <f ca="1">$M$468*$Z$468</f>
        <v>2442.6987308797643</v>
      </c>
      <c r="AG468" s="4">
        <f>$O$468*$AA$468</f>
        <v>1035.0190395420748</v>
      </c>
    </row>
    <row r="469" spans="1:33" ht="11.25" customHeight="1" x14ac:dyDescent="0.25">
      <c r="A469" s="3" t="s">
        <v>21</v>
      </c>
      <c r="B469" s="3" t="s">
        <v>33</v>
      </c>
      <c r="C469" s="3" t="s">
        <v>23</v>
      </c>
      <c r="D469" s="3" t="s">
        <v>42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44682</v>
      </c>
      <c r="J469" s="4">
        <v>0</v>
      </c>
      <c r="K469" s="4">
        <v>0</v>
      </c>
      <c r="L469" s="4">
        <v>4.87</v>
      </c>
      <c r="M469" s="4">
        <v>4.87</v>
      </c>
      <c r="N469" s="4">
        <v>4.87</v>
      </c>
      <c r="O469" s="4">
        <v>4.87</v>
      </c>
      <c r="P469" s="4">
        <v>10</v>
      </c>
      <c r="Q469" s="3" t="s">
        <v>26</v>
      </c>
      <c r="R469" s="3">
        <v>0</v>
      </c>
      <c r="S469" s="4">
        <v>0</v>
      </c>
      <c r="T469" s="4">
        <v>26</v>
      </c>
      <c r="U469" s="4">
        <v>81</v>
      </c>
      <c r="V469" s="4">
        <f>IF(ISERROR(VLOOKUP($S$469,'TAR FIN'!$A$1:$O$85,15,0)),0,VLOOKUP($S$469,'TAR FIN'!$A$1:$O$85,15,0))</f>
        <v>0</v>
      </c>
      <c r="W469" s="4">
        <f>IF(ISERROR(VLOOKUP($T$469,'TAR FIN'!$A$1:$O$85,15,0)),0,VLOOKUP($T$469,'TAR FIN'!$A$1:$O$85,15,0))</f>
        <v>367.75</v>
      </c>
      <c r="X469" s="4">
        <f>IF(ISERROR(VLOOKUP($U$469,'TAR FIN'!$A$1:$O$85,15,0)),0,VLOOKUP($U$469,'TAR FIN'!$A$1:$O$85,15,0))</f>
        <v>267.91000000000003</v>
      </c>
      <c r="Y469" s="4"/>
      <c r="Z469" s="4">
        <f ca="1">('TUSD BE'!$AM$48+'TUSD BF'!$AM$48+'TUSD CVA'!$AM$48)*1</f>
        <v>437.60278231454038</v>
      </c>
      <c r="AA469" s="4">
        <f>('TE BE'!$AB$38+'TE BF'!$AB$38+'TE CVA'!$AB$38)*1</f>
        <v>185.42082399535556</v>
      </c>
      <c r="AB469" s="4">
        <f>$K$469*$V$469</f>
        <v>0</v>
      </c>
      <c r="AC469" s="4">
        <f>$M$469*$W$469</f>
        <v>1790.9425000000001</v>
      </c>
      <c r="AD469" s="4">
        <f>$O$469*$X$469</f>
        <v>1304.7217000000001</v>
      </c>
      <c r="AE469" s="4">
        <f>$K$469*$Y$469</f>
        <v>0</v>
      </c>
      <c r="AF469" s="4">
        <f ca="1">$M$469*$Z$469</f>
        <v>2131.1255498718115</v>
      </c>
      <c r="AG469" s="4">
        <f>$O$469*$AA$469</f>
        <v>902.99941285738157</v>
      </c>
    </row>
    <row r="470" spans="1:33" ht="11.25" customHeight="1" x14ac:dyDescent="0.25">
      <c r="A470" s="3" t="s">
        <v>21</v>
      </c>
      <c r="B470" s="3" t="s">
        <v>33</v>
      </c>
      <c r="C470" s="3" t="s">
        <v>23</v>
      </c>
      <c r="D470" s="3" t="s">
        <v>42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44713</v>
      </c>
      <c r="J470" s="4">
        <v>0</v>
      </c>
      <c r="K470" s="4">
        <v>0</v>
      </c>
      <c r="L470" s="4">
        <v>4.2720000000000002</v>
      </c>
      <c r="M470" s="4">
        <v>4.2720000000000002</v>
      </c>
      <c r="N470" s="4">
        <v>4.2720000000000002</v>
      </c>
      <c r="O470" s="4">
        <v>4.2720000000000002</v>
      </c>
      <c r="P470" s="4">
        <v>10</v>
      </c>
      <c r="Q470" s="3" t="s">
        <v>26</v>
      </c>
      <c r="R470" s="3">
        <v>0</v>
      </c>
      <c r="S470" s="4">
        <v>0</v>
      </c>
      <c r="T470" s="4">
        <v>26</v>
      </c>
      <c r="U470" s="4">
        <v>81</v>
      </c>
      <c r="V470" s="4">
        <f>IF(ISERROR(VLOOKUP($S$470,'TAR FIN'!$A$1:$O$85,15,0)),0,VLOOKUP($S$470,'TAR FIN'!$A$1:$O$85,15,0))</f>
        <v>0</v>
      </c>
      <c r="W470" s="4">
        <f>IF(ISERROR(VLOOKUP($T$470,'TAR FIN'!$A$1:$O$85,15,0)),0,VLOOKUP($T$470,'TAR FIN'!$A$1:$O$85,15,0))</f>
        <v>367.75</v>
      </c>
      <c r="X470" s="4">
        <f>IF(ISERROR(VLOOKUP($U$470,'TAR FIN'!$A$1:$O$85,15,0)),0,VLOOKUP($U$470,'TAR FIN'!$A$1:$O$85,15,0))</f>
        <v>267.91000000000003</v>
      </c>
      <c r="Y470" s="4"/>
      <c r="Z470" s="4">
        <f ca="1">('TUSD BE'!$AM$48+'TUSD BF'!$AM$48+'TUSD CVA'!$AM$48)*1</f>
        <v>437.60278231454038</v>
      </c>
      <c r="AA470" s="4">
        <f>('TE BE'!$AB$38+'TE BF'!$AB$38+'TE CVA'!$AB$38)*1</f>
        <v>185.42082399535556</v>
      </c>
      <c r="AB470" s="4">
        <f>$K$470*$V$470</f>
        <v>0</v>
      </c>
      <c r="AC470" s="4">
        <f>$M$470*$W$470</f>
        <v>1571.028</v>
      </c>
      <c r="AD470" s="4">
        <f>$O$470*$X$470</f>
        <v>1144.5115200000002</v>
      </c>
      <c r="AE470" s="4">
        <f>$K$470*$Y$470</f>
        <v>0</v>
      </c>
      <c r="AF470" s="4">
        <f ca="1">$M$470*$Z$470</f>
        <v>1869.4390860477165</v>
      </c>
      <c r="AG470" s="4">
        <f>$O$470*$AA$470</f>
        <v>792.11776010815902</v>
      </c>
    </row>
    <row r="471" spans="1:33" ht="11.25" customHeight="1" x14ac:dyDescent="0.25">
      <c r="A471" s="3" t="s">
        <v>21</v>
      </c>
      <c r="B471" s="3" t="s">
        <v>33</v>
      </c>
      <c r="C471" s="3" t="s">
        <v>23</v>
      </c>
      <c r="D471" s="3" t="s">
        <v>42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44743</v>
      </c>
      <c r="J471" s="4">
        <v>0</v>
      </c>
      <c r="K471" s="4">
        <v>0</v>
      </c>
      <c r="L471" s="4">
        <v>4.202</v>
      </c>
      <c r="M471" s="4">
        <v>4.202</v>
      </c>
      <c r="N471" s="4">
        <v>4.202</v>
      </c>
      <c r="O471" s="4">
        <v>4.202</v>
      </c>
      <c r="P471" s="4">
        <v>10</v>
      </c>
      <c r="Q471" s="3" t="s">
        <v>26</v>
      </c>
      <c r="R471" s="3">
        <v>0</v>
      </c>
      <c r="S471" s="4">
        <v>0</v>
      </c>
      <c r="T471" s="4">
        <v>26</v>
      </c>
      <c r="U471" s="4">
        <v>81</v>
      </c>
      <c r="V471" s="4">
        <f>IF(ISERROR(VLOOKUP($S$471,'TAR FIN'!$A$1:$O$85,15,0)),0,VLOOKUP($S$471,'TAR FIN'!$A$1:$O$85,15,0))</f>
        <v>0</v>
      </c>
      <c r="W471" s="4">
        <f>IF(ISERROR(VLOOKUP($T$471,'TAR FIN'!$A$1:$O$85,15,0)),0,VLOOKUP($T$471,'TAR FIN'!$A$1:$O$85,15,0))</f>
        <v>367.75</v>
      </c>
      <c r="X471" s="4">
        <f>IF(ISERROR(VLOOKUP($U$471,'TAR FIN'!$A$1:$O$85,15,0)),0,VLOOKUP($U$471,'TAR FIN'!$A$1:$O$85,15,0))</f>
        <v>267.91000000000003</v>
      </c>
      <c r="Y471" s="4"/>
      <c r="Z471" s="4">
        <f ca="1">('TUSD BE'!$AM$48+'TUSD BF'!$AM$48+'TUSD CVA'!$AM$48)*1</f>
        <v>437.60278231454038</v>
      </c>
      <c r="AA471" s="4">
        <f>('TE BE'!$AB$38+'TE BF'!$AB$38+'TE CVA'!$AB$38)*1</f>
        <v>185.42082399535556</v>
      </c>
      <c r="AB471" s="4">
        <f>$K$471*$V$471</f>
        <v>0</v>
      </c>
      <c r="AC471" s="4">
        <f>$M$471*$W$471</f>
        <v>1545.2855</v>
      </c>
      <c r="AD471" s="4">
        <f>$O$471*$X$471</f>
        <v>1125.75782</v>
      </c>
      <c r="AE471" s="4">
        <f>$K$471*$Y$471</f>
        <v>0</v>
      </c>
      <c r="AF471" s="4">
        <f ca="1">$M$471*$Z$471</f>
        <v>1838.8068912856986</v>
      </c>
      <c r="AG471" s="4">
        <f>$O$471*$AA$471</f>
        <v>779.13830242848405</v>
      </c>
    </row>
    <row r="472" spans="1:33" ht="11.25" customHeight="1" x14ac:dyDescent="0.25">
      <c r="A472" s="3" t="s">
        <v>21</v>
      </c>
      <c r="B472" s="3" t="s">
        <v>33</v>
      </c>
      <c r="C472" s="3" t="s">
        <v>23</v>
      </c>
      <c r="D472" s="3" t="s">
        <v>42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44774</v>
      </c>
      <c r="J472" s="4">
        <v>0</v>
      </c>
      <c r="K472" s="4">
        <v>0</v>
      </c>
      <c r="L472" s="4">
        <v>3.2839999999999998</v>
      </c>
      <c r="M472" s="4">
        <v>3.2839999999999998</v>
      </c>
      <c r="N472" s="4">
        <v>3.2839999999999998</v>
      </c>
      <c r="O472" s="4">
        <v>3.2839999999999998</v>
      </c>
      <c r="P472" s="4">
        <v>10</v>
      </c>
      <c r="Q472" s="3" t="s">
        <v>26</v>
      </c>
      <c r="R472" s="3">
        <v>0</v>
      </c>
      <c r="S472" s="4">
        <v>0</v>
      </c>
      <c r="T472" s="4">
        <v>26</v>
      </c>
      <c r="U472" s="4">
        <v>81</v>
      </c>
      <c r="V472" s="4">
        <f>IF(ISERROR(VLOOKUP($S$472,'TAR FIN'!$A$1:$O$85,15,0)),0,VLOOKUP($S$472,'TAR FIN'!$A$1:$O$85,15,0))</f>
        <v>0</v>
      </c>
      <c r="W472" s="4">
        <f>IF(ISERROR(VLOOKUP($T$472,'TAR FIN'!$A$1:$O$85,15,0)),0,VLOOKUP($T$472,'TAR FIN'!$A$1:$O$85,15,0))</f>
        <v>367.75</v>
      </c>
      <c r="X472" s="4">
        <f>IF(ISERROR(VLOOKUP($U$472,'TAR FIN'!$A$1:$O$85,15,0)),0,VLOOKUP($U$472,'TAR FIN'!$A$1:$O$85,15,0))</f>
        <v>267.91000000000003</v>
      </c>
      <c r="Y472" s="4"/>
      <c r="Z472" s="4">
        <f ca="1">('TUSD BE'!$AM$48+'TUSD BF'!$AM$48+'TUSD CVA'!$AM$48)*1</f>
        <v>437.60278231454038</v>
      </c>
      <c r="AA472" s="4">
        <f>('TE BE'!$AB$38+'TE BF'!$AB$38+'TE CVA'!$AB$38)*1</f>
        <v>185.42082399535556</v>
      </c>
      <c r="AB472" s="4">
        <f>$K$472*$V$472</f>
        <v>0</v>
      </c>
      <c r="AC472" s="4">
        <f>$M$472*$W$472</f>
        <v>1207.691</v>
      </c>
      <c r="AD472" s="4">
        <f>$O$472*$X$472</f>
        <v>879.81644000000006</v>
      </c>
      <c r="AE472" s="4">
        <f>$K$472*$Y$472</f>
        <v>0</v>
      </c>
      <c r="AF472" s="4">
        <f ca="1">$M$472*$Z$472</f>
        <v>1437.0875371209506</v>
      </c>
      <c r="AG472" s="4">
        <f>$O$472*$AA$472</f>
        <v>608.92198600074767</v>
      </c>
    </row>
    <row r="473" spans="1:33" ht="11.25" customHeight="1" x14ac:dyDescent="0.25">
      <c r="A473" s="3" t="s">
        <v>21</v>
      </c>
      <c r="B473" s="3" t="s">
        <v>33</v>
      </c>
      <c r="C473" s="3" t="s">
        <v>23</v>
      </c>
      <c r="D473" s="3" t="s">
        <v>47</v>
      </c>
      <c r="E473" s="3" t="s">
        <v>48</v>
      </c>
      <c r="F473" s="3" t="s">
        <v>25</v>
      </c>
      <c r="G473" s="3" t="s">
        <v>25</v>
      </c>
      <c r="H473" s="3" t="s">
        <v>25</v>
      </c>
      <c r="I473" s="6">
        <v>44440</v>
      </c>
      <c r="J473" s="4">
        <v>0</v>
      </c>
      <c r="K473" s="52">
        <v>0</v>
      </c>
      <c r="L473" s="4">
        <v>17.684000000000001</v>
      </c>
      <c r="M473" s="52">
        <v>17.684000000000001</v>
      </c>
      <c r="N473" s="4">
        <v>17.684000000000001</v>
      </c>
      <c r="O473" s="52">
        <v>17.684000000000001</v>
      </c>
      <c r="P473" s="4">
        <v>5</v>
      </c>
      <c r="Q473" s="3" t="s">
        <v>26</v>
      </c>
      <c r="R473" s="3">
        <v>0</v>
      </c>
      <c r="S473" s="4">
        <v>0</v>
      </c>
      <c r="T473" s="4">
        <v>26</v>
      </c>
      <c r="U473" s="4">
        <v>81</v>
      </c>
      <c r="V473" s="52">
        <f>IF(ISERROR(VLOOKUP($S$473,'TAR FIN'!$A$1:$O$85,15,0)),0,VLOOKUP($S$473,'TAR FIN'!$A$1:$O$85,15,0))</f>
        <v>0</v>
      </c>
      <c r="W473" s="52">
        <f>IF(ISERROR(VLOOKUP($T$473,'TAR FIN'!$A$1:$O$85,15,0)),0,VLOOKUP($T$473,'TAR FIN'!$A$1:$O$85,15,0))*(1-0.06)</f>
        <v>345.685</v>
      </c>
      <c r="X473" s="52">
        <f>IF(ISERROR(VLOOKUP($U$473,'TAR FIN'!$A$1:$O$85,15,0)),0,VLOOKUP($U$473,'TAR FIN'!$A$1:$O$85,15,0))*(1-0.06)</f>
        <v>251.83540000000002</v>
      </c>
      <c r="Y473" s="52"/>
      <c r="Z473" s="52">
        <f ca="1">('TUSD BE'!$AM$48+'TUSD BF'!$AM$48+'TUSD CVA'!$AM$48)*1*(1-0.03)</f>
        <v>424.47469884510417</v>
      </c>
      <c r="AA473" s="52">
        <f>('TE BE'!$AB$38+'TE BF'!$AB$38+'TE CVA'!$AB$38)*1*(1-0.03)</f>
        <v>179.85819927549488</v>
      </c>
      <c r="AB473" s="4">
        <f>$K$473*$V$473</f>
        <v>0</v>
      </c>
      <c r="AC473" s="4">
        <f>$M$473*$W$473</f>
        <v>6113.0935400000008</v>
      </c>
      <c r="AD473" s="4">
        <f>$O$473*$X$473</f>
        <v>4453.4572136000006</v>
      </c>
      <c r="AE473" s="4">
        <f>$K$473*$Y$473</f>
        <v>0</v>
      </c>
      <c r="AF473" s="4">
        <f ca="1">$M$473*$Z$473</f>
        <v>7506.4105743768223</v>
      </c>
      <c r="AG473" s="4">
        <f>$O$473*$AA$473</f>
        <v>3180.6123959878519</v>
      </c>
    </row>
    <row r="474" spans="1:33" ht="11.25" customHeight="1" x14ac:dyDescent="0.25">
      <c r="A474" s="3" t="s">
        <v>21</v>
      </c>
      <c r="B474" s="3" t="s">
        <v>33</v>
      </c>
      <c r="C474" s="3" t="s">
        <v>23</v>
      </c>
      <c r="D474" s="3" t="s">
        <v>47</v>
      </c>
      <c r="E474" s="3" t="s">
        <v>48</v>
      </c>
      <c r="F474" s="3" t="s">
        <v>25</v>
      </c>
      <c r="G474" s="3" t="s">
        <v>25</v>
      </c>
      <c r="H474" s="3" t="s">
        <v>25</v>
      </c>
      <c r="I474" s="6">
        <v>44470</v>
      </c>
      <c r="J474" s="4">
        <v>0</v>
      </c>
      <c r="K474" s="52">
        <v>0</v>
      </c>
      <c r="L474" s="4">
        <v>15.346</v>
      </c>
      <c r="M474" s="52">
        <v>15.346</v>
      </c>
      <c r="N474" s="4">
        <v>15.346</v>
      </c>
      <c r="O474" s="52">
        <v>15.346</v>
      </c>
      <c r="P474" s="4">
        <v>5</v>
      </c>
      <c r="Q474" s="3" t="s">
        <v>26</v>
      </c>
      <c r="R474" s="3">
        <v>0</v>
      </c>
      <c r="S474" s="4">
        <v>0</v>
      </c>
      <c r="T474" s="4">
        <v>26</v>
      </c>
      <c r="U474" s="4">
        <v>81</v>
      </c>
      <c r="V474" s="52">
        <f>IF(ISERROR(VLOOKUP($S$474,'TAR FIN'!$A$1:$O$85,15,0)),0,VLOOKUP($S$474,'TAR FIN'!$A$1:$O$85,15,0))</f>
        <v>0</v>
      </c>
      <c r="W474" s="52">
        <f>IF(ISERROR(VLOOKUP($T$474,'TAR FIN'!$A$1:$O$85,15,0)),0,VLOOKUP($T$474,'TAR FIN'!$A$1:$O$85,15,0))*(1-0.06)</f>
        <v>345.685</v>
      </c>
      <c r="X474" s="52">
        <f>IF(ISERROR(VLOOKUP($U$474,'TAR FIN'!$A$1:$O$85,15,0)),0,VLOOKUP($U$474,'TAR FIN'!$A$1:$O$85,15,0))*(1-0.06)</f>
        <v>251.83540000000002</v>
      </c>
      <c r="Y474" s="52"/>
      <c r="Z474" s="52">
        <f ca="1">('TUSD BE'!$AM$48+'TUSD BF'!$AM$48+'TUSD CVA'!$AM$48)*1*(1-0.03)</f>
        <v>424.47469884510417</v>
      </c>
      <c r="AA474" s="52">
        <f>('TE BE'!$AB$38+'TE BF'!$AB$38+'TE CVA'!$AB$38)*1*(1-0.03)</f>
        <v>179.85819927549488</v>
      </c>
      <c r="AB474" s="4">
        <f>$K$474*$V$474</f>
        <v>0</v>
      </c>
      <c r="AC474" s="4">
        <f>$M$474*$W$474</f>
        <v>5304.8820100000003</v>
      </c>
      <c r="AD474" s="4">
        <f>$O$474*$X$474</f>
        <v>3864.6660484000004</v>
      </c>
      <c r="AE474" s="4">
        <f>$K$474*$Y$474</f>
        <v>0</v>
      </c>
      <c r="AF474" s="4">
        <f ca="1">$M$474*$Z$474</f>
        <v>6513.9887284769684</v>
      </c>
      <c r="AG474" s="4">
        <f>$O$474*$AA$474</f>
        <v>2760.1039260817447</v>
      </c>
    </row>
    <row r="475" spans="1:33" ht="11.25" customHeight="1" x14ac:dyDescent="0.25">
      <c r="A475" s="3" t="s">
        <v>21</v>
      </c>
      <c r="B475" s="3" t="s">
        <v>33</v>
      </c>
      <c r="C475" s="3" t="s">
        <v>23</v>
      </c>
      <c r="D475" s="3" t="s">
        <v>47</v>
      </c>
      <c r="E475" s="3" t="s">
        <v>48</v>
      </c>
      <c r="F475" s="3" t="s">
        <v>25</v>
      </c>
      <c r="G475" s="3" t="s">
        <v>25</v>
      </c>
      <c r="H475" s="3" t="s">
        <v>25</v>
      </c>
      <c r="I475" s="6">
        <v>44501</v>
      </c>
      <c r="J475" s="4">
        <v>0</v>
      </c>
      <c r="K475" s="52">
        <v>0</v>
      </c>
      <c r="L475" s="4">
        <v>14.811</v>
      </c>
      <c r="M475" s="52">
        <v>14.811</v>
      </c>
      <c r="N475" s="4">
        <v>14.811</v>
      </c>
      <c r="O475" s="52">
        <v>14.811</v>
      </c>
      <c r="P475" s="4">
        <v>5</v>
      </c>
      <c r="Q475" s="3" t="s">
        <v>26</v>
      </c>
      <c r="R475" s="3">
        <v>0</v>
      </c>
      <c r="S475" s="4">
        <v>0</v>
      </c>
      <c r="T475" s="4">
        <v>26</v>
      </c>
      <c r="U475" s="4">
        <v>81</v>
      </c>
      <c r="V475" s="52">
        <f>IF(ISERROR(VLOOKUP($S$475,'TAR FIN'!$A$1:$O$85,15,0)),0,VLOOKUP($S$475,'TAR FIN'!$A$1:$O$85,15,0))</f>
        <v>0</v>
      </c>
      <c r="W475" s="52">
        <f>IF(ISERROR(VLOOKUP($T$475,'TAR FIN'!$A$1:$O$85,15,0)),0,VLOOKUP($T$475,'TAR FIN'!$A$1:$O$85,15,0))*(1-0.06)</f>
        <v>345.685</v>
      </c>
      <c r="X475" s="52">
        <f>IF(ISERROR(VLOOKUP($U$475,'TAR FIN'!$A$1:$O$85,15,0)),0,VLOOKUP($U$475,'TAR FIN'!$A$1:$O$85,15,0))*(1-0.06)</f>
        <v>251.83540000000002</v>
      </c>
      <c r="Y475" s="52"/>
      <c r="Z475" s="52">
        <f ca="1">('TUSD BE'!$AM$48+'TUSD BF'!$AM$48+'TUSD CVA'!$AM$48)*1*(1-0.03)</f>
        <v>424.47469884510417</v>
      </c>
      <c r="AA475" s="52">
        <f>('TE BE'!$AB$38+'TE BF'!$AB$38+'TE CVA'!$AB$38)*1*(1-0.03)</f>
        <v>179.85819927549488</v>
      </c>
      <c r="AB475" s="4">
        <f>$K$475*$V$475</f>
        <v>0</v>
      </c>
      <c r="AC475" s="4">
        <f>$M$475*$W$475</f>
        <v>5119.9405349999997</v>
      </c>
      <c r="AD475" s="4">
        <f>$O$475*$X$475</f>
        <v>3729.9341094000001</v>
      </c>
      <c r="AE475" s="4">
        <f>$K$475*$Y$475</f>
        <v>0</v>
      </c>
      <c r="AF475" s="4">
        <f ca="1">$M$475*$Z$475</f>
        <v>6286.8947645948383</v>
      </c>
      <c r="AG475" s="4">
        <f>$O$475*$AA$475</f>
        <v>2663.8797894693548</v>
      </c>
    </row>
    <row r="476" spans="1:33" ht="11.25" customHeight="1" x14ac:dyDescent="0.25">
      <c r="A476" s="3" t="s">
        <v>21</v>
      </c>
      <c r="B476" s="3" t="s">
        <v>33</v>
      </c>
      <c r="C476" s="3" t="s">
        <v>23</v>
      </c>
      <c r="D476" s="3" t="s">
        <v>47</v>
      </c>
      <c r="E476" s="3" t="s">
        <v>48</v>
      </c>
      <c r="F476" s="3" t="s">
        <v>25</v>
      </c>
      <c r="G476" s="3" t="s">
        <v>25</v>
      </c>
      <c r="H476" s="3" t="s">
        <v>25</v>
      </c>
      <c r="I476" s="6">
        <v>44531</v>
      </c>
      <c r="J476" s="4">
        <v>0</v>
      </c>
      <c r="K476" s="52">
        <v>0</v>
      </c>
      <c r="L476" s="4">
        <v>16.407</v>
      </c>
      <c r="M476" s="52">
        <v>16.407</v>
      </c>
      <c r="N476" s="4">
        <v>16.407</v>
      </c>
      <c r="O476" s="52">
        <v>16.407</v>
      </c>
      <c r="P476" s="4">
        <v>5</v>
      </c>
      <c r="Q476" s="3" t="s">
        <v>26</v>
      </c>
      <c r="R476" s="3">
        <v>0</v>
      </c>
      <c r="S476" s="4">
        <v>0</v>
      </c>
      <c r="T476" s="4">
        <v>26</v>
      </c>
      <c r="U476" s="4">
        <v>81</v>
      </c>
      <c r="V476" s="52">
        <f>IF(ISERROR(VLOOKUP($S$476,'TAR FIN'!$A$1:$O$85,15,0)),0,VLOOKUP($S$476,'TAR FIN'!$A$1:$O$85,15,0))</f>
        <v>0</v>
      </c>
      <c r="W476" s="52">
        <f>IF(ISERROR(VLOOKUP($T$476,'TAR FIN'!$A$1:$O$85,15,0)),0,VLOOKUP($T$476,'TAR FIN'!$A$1:$O$85,15,0))*(1-0.06)</f>
        <v>345.685</v>
      </c>
      <c r="X476" s="52">
        <f>IF(ISERROR(VLOOKUP($U$476,'TAR FIN'!$A$1:$O$85,15,0)),0,VLOOKUP($U$476,'TAR FIN'!$A$1:$O$85,15,0))*(1-0.06)</f>
        <v>251.83540000000002</v>
      </c>
      <c r="Y476" s="52"/>
      <c r="Z476" s="52">
        <f ca="1">('TUSD BE'!$AM$48+'TUSD BF'!$AM$48+'TUSD CVA'!$AM$48)*1*(1-0.03)</f>
        <v>424.47469884510417</v>
      </c>
      <c r="AA476" s="52">
        <f>('TE BE'!$AB$38+'TE BF'!$AB$38+'TE CVA'!$AB$38)*1*(1-0.03)</f>
        <v>179.85819927549488</v>
      </c>
      <c r="AB476" s="4">
        <f>$K$476*$V$476</f>
        <v>0</v>
      </c>
      <c r="AC476" s="4">
        <f>$M$476*$W$476</f>
        <v>5671.6537950000002</v>
      </c>
      <c r="AD476" s="4">
        <f>$O$476*$X$476</f>
        <v>4131.8634078000005</v>
      </c>
      <c r="AE476" s="4">
        <f>$K$476*$Y$476</f>
        <v>0</v>
      </c>
      <c r="AF476" s="4">
        <f ca="1">$M$476*$Z$476</f>
        <v>6964.3563839516246</v>
      </c>
      <c r="AG476" s="4">
        <f>$O$476*$AA$476</f>
        <v>2950.9334755130444</v>
      </c>
    </row>
    <row r="477" spans="1:33" ht="11.25" customHeight="1" x14ac:dyDescent="0.25">
      <c r="A477" s="3" t="s">
        <v>21</v>
      </c>
      <c r="B477" s="3" t="s">
        <v>33</v>
      </c>
      <c r="C477" s="3" t="s">
        <v>23</v>
      </c>
      <c r="D477" s="3" t="s">
        <v>47</v>
      </c>
      <c r="E477" s="3" t="s">
        <v>48</v>
      </c>
      <c r="F477" s="3" t="s">
        <v>25</v>
      </c>
      <c r="G477" s="3" t="s">
        <v>25</v>
      </c>
      <c r="H477" s="3" t="s">
        <v>25</v>
      </c>
      <c r="I477" s="6">
        <v>44562</v>
      </c>
      <c r="J477" s="4">
        <v>0</v>
      </c>
      <c r="K477" s="52">
        <v>0</v>
      </c>
      <c r="L477" s="4">
        <v>16.094000000000001</v>
      </c>
      <c r="M477" s="52">
        <v>16.094000000000001</v>
      </c>
      <c r="N477" s="4">
        <v>16.094000000000001</v>
      </c>
      <c r="O477" s="52">
        <v>16.094000000000001</v>
      </c>
      <c r="P477" s="4">
        <v>5</v>
      </c>
      <c r="Q477" s="3" t="s">
        <v>26</v>
      </c>
      <c r="R477" s="3">
        <v>0</v>
      </c>
      <c r="S477" s="4">
        <v>0</v>
      </c>
      <c r="T477" s="4">
        <v>26</v>
      </c>
      <c r="U477" s="4">
        <v>81</v>
      </c>
      <c r="V477" s="52">
        <f>IF(ISERROR(VLOOKUP($S$477,'TAR FIN'!$A$1:$O$85,15,0)),0,VLOOKUP($S$477,'TAR FIN'!$A$1:$O$85,15,0))</f>
        <v>0</v>
      </c>
      <c r="W477" s="52">
        <f>IF(ISERROR(VLOOKUP($T$477,'TAR FIN'!$A$1:$O$85,15,0)),0,VLOOKUP($T$477,'TAR FIN'!$A$1:$O$85,15,0))*(1-0.06)</f>
        <v>345.685</v>
      </c>
      <c r="X477" s="52">
        <f>IF(ISERROR(VLOOKUP($U$477,'TAR FIN'!$A$1:$O$85,15,0)),0,VLOOKUP($U$477,'TAR FIN'!$A$1:$O$85,15,0))*(1-0.06)</f>
        <v>251.83540000000002</v>
      </c>
      <c r="Y477" s="52"/>
      <c r="Z477" s="52">
        <f ca="1">('TUSD BE'!$AM$48+'TUSD BF'!$AM$48+'TUSD CVA'!$AM$48)*1*(1-0.03)</f>
        <v>424.47469884510417</v>
      </c>
      <c r="AA477" s="52">
        <f>('TE BE'!$AB$38+'TE BF'!$AB$38+'TE CVA'!$AB$38)*1*(1-0.03)</f>
        <v>179.85819927549488</v>
      </c>
      <c r="AB477" s="4">
        <f>$K$477*$V$477</f>
        <v>0</v>
      </c>
      <c r="AC477" s="4">
        <f>$M$477*$W$477</f>
        <v>5563.4543900000008</v>
      </c>
      <c r="AD477" s="4">
        <f>$O$477*$X$477</f>
        <v>4053.0389276000005</v>
      </c>
      <c r="AE477" s="4">
        <f>$K$477*$Y$477</f>
        <v>0</v>
      </c>
      <c r="AF477" s="4">
        <f ca="1">$M$477*$Z$477</f>
        <v>6831.4958032131071</v>
      </c>
      <c r="AG477" s="4">
        <f>$O$477*$AA$477</f>
        <v>2894.6378591398147</v>
      </c>
    </row>
    <row r="478" spans="1:33" ht="11.25" customHeight="1" x14ac:dyDescent="0.25">
      <c r="A478" s="3" t="s">
        <v>21</v>
      </c>
      <c r="B478" s="3" t="s">
        <v>33</v>
      </c>
      <c r="C478" s="3" t="s">
        <v>23</v>
      </c>
      <c r="D478" s="3" t="s">
        <v>47</v>
      </c>
      <c r="E478" s="3" t="s">
        <v>48</v>
      </c>
      <c r="F478" s="3" t="s">
        <v>25</v>
      </c>
      <c r="G478" s="3" t="s">
        <v>25</v>
      </c>
      <c r="H478" s="3" t="s">
        <v>25</v>
      </c>
      <c r="I478" s="6">
        <v>44593</v>
      </c>
      <c r="J478" s="4">
        <v>0</v>
      </c>
      <c r="K478" s="52">
        <v>0</v>
      </c>
      <c r="L478" s="4">
        <v>17.323</v>
      </c>
      <c r="M478" s="52">
        <v>17.323</v>
      </c>
      <c r="N478" s="4">
        <v>17.323</v>
      </c>
      <c r="O478" s="52">
        <v>17.323</v>
      </c>
      <c r="P478" s="4">
        <v>5</v>
      </c>
      <c r="Q478" s="3" t="s">
        <v>26</v>
      </c>
      <c r="R478" s="3">
        <v>0</v>
      </c>
      <c r="S478" s="4">
        <v>0</v>
      </c>
      <c r="T478" s="4">
        <v>26</v>
      </c>
      <c r="U478" s="4">
        <v>81</v>
      </c>
      <c r="V478" s="52">
        <f>IF(ISERROR(VLOOKUP($S$478,'TAR FIN'!$A$1:$O$85,15,0)),0,VLOOKUP($S$478,'TAR FIN'!$A$1:$O$85,15,0))</f>
        <v>0</v>
      </c>
      <c r="W478" s="52">
        <f>IF(ISERROR(VLOOKUP($T$478,'TAR FIN'!$A$1:$O$85,15,0)),0,VLOOKUP($T$478,'TAR FIN'!$A$1:$O$85,15,0))*(1-0.06)</f>
        <v>345.685</v>
      </c>
      <c r="X478" s="52">
        <f>IF(ISERROR(VLOOKUP($U$478,'TAR FIN'!$A$1:$O$85,15,0)),0,VLOOKUP($U$478,'TAR FIN'!$A$1:$O$85,15,0))*(1-0.06)</f>
        <v>251.83540000000002</v>
      </c>
      <c r="Y478" s="52"/>
      <c r="Z478" s="52">
        <f ca="1">('TUSD BE'!$AM$48+'TUSD BF'!$AM$48+'TUSD CVA'!$AM$48)*1*(1-0.03)</f>
        <v>424.47469884510417</v>
      </c>
      <c r="AA478" s="52">
        <f>('TE BE'!$AB$38+'TE BF'!$AB$38+'TE CVA'!$AB$38)*1*(1-0.03)</f>
        <v>179.85819927549488</v>
      </c>
      <c r="AB478" s="4">
        <f>$K$478*$V$478</f>
        <v>0</v>
      </c>
      <c r="AC478" s="4">
        <f>$M$478*$W$478</f>
        <v>5988.3012550000003</v>
      </c>
      <c r="AD478" s="4">
        <f>$O$478*$X$478</f>
        <v>4362.5446342000005</v>
      </c>
      <c r="AE478" s="4">
        <f>$K$478*$Y$478</f>
        <v>0</v>
      </c>
      <c r="AF478" s="4">
        <f ca="1">$M$478*$Z$478</f>
        <v>7353.1752080937395</v>
      </c>
      <c r="AG478" s="4">
        <f>$O$478*$AA$478</f>
        <v>3115.6835860493979</v>
      </c>
    </row>
    <row r="479" spans="1:33" ht="11.25" customHeight="1" x14ac:dyDescent="0.25">
      <c r="A479" s="3" t="s">
        <v>21</v>
      </c>
      <c r="B479" s="3" t="s">
        <v>33</v>
      </c>
      <c r="C479" s="3" t="s">
        <v>23</v>
      </c>
      <c r="D479" s="3" t="s">
        <v>47</v>
      </c>
      <c r="E479" s="3" t="s">
        <v>48</v>
      </c>
      <c r="F479" s="3" t="s">
        <v>25</v>
      </c>
      <c r="G479" s="3" t="s">
        <v>25</v>
      </c>
      <c r="H479" s="3" t="s">
        <v>25</v>
      </c>
      <c r="I479" s="6">
        <v>44621</v>
      </c>
      <c r="J479" s="4">
        <v>0</v>
      </c>
      <c r="K479" s="52">
        <v>0</v>
      </c>
      <c r="L479" s="4">
        <v>17.771999999999998</v>
      </c>
      <c r="M479" s="52">
        <v>17.771999999999998</v>
      </c>
      <c r="N479" s="4">
        <v>17.771999999999998</v>
      </c>
      <c r="O479" s="52">
        <v>17.771999999999998</v>
      </c>
      <c r="P479" s="4">
        <v>5</v>
      </c>
      <c r="Q479" s="3" t="s">
        <v>26</v>
      </c>
      <c r="R479" s="3">
        <v>0</v>
      </c>
      <c r="S479" s="4">
        <v>0</v>
      </c>
      <c r="T479" s="4">
        <v>26</v>
      </c>
      <c r="U479" s="4">
        <v>81</v>
      </c>
      <c r="V479" s="52">
        <f>IF(ISERROR(VLOOKUP($S$479,'TAR FIN'!$A$1:$O$85,15,0)),0,VLOOKUP($S$479,'TAR FIN'!$A$1:$O$85,15,0))</f>
        <v>0</v>
      </c>
      <c r="W479" s="52">
        <f>IF(ISERROR(VLOOKUP($T$479,'TAR FIN'!$A$1:$O$85,15,0)),0,VLOOKUP($T$479,'TAR FIN'!$A$1:$O$85,15,0))*(1-0.06)</f>
        <v>345.685</v>
      </c>
      <c r="X479" s="52">
        <f>IF(ISERROR(VLOOKUP($U$479,'TAR FIN'!$A$1:$O$85,15,0)),0,VLOOKUP($U$479,'TAR FIN'!$A$1:$O$85,15,0))*(1-0.06)</f>
        <v>251.83540000000002</v>
      </c>
      <c r="Y479" s="52"/>
      <c r="Z479" s="52">
        <f ca="1">('TUSD BE'!$AM$48+'TUSD BF'!$AM$48+'TUSD CVA'!$AM$48)*1*(1-0.03)</f>
        <v>424.47469884510417</v>
      </c>
      <c r="AA479" s="52">
        <f>('TE BE'!$AB$38+'TE BF'!$AB$38+'TE CVA'!$AB$38)*1*(1-0.03)</f>
        <v>179.85819927549488</v>
      </c>
      <c r="AB479" s="4">
        <f>$K$479*$V$479</f>
        <v>0</v>
      </c>
      <c r="AC479" s="4">
        <f>$M$479*$W$479</f>
        <v>6143.5138199999992</v>
      </c>
      <c r="AD479" s="4">
        <f>$O$479*$X$479</f>
        <v>4475.6187288000001</v>
      </c>
      <c r="AE479" s="4">
        <f>$K$479*$Y$479</f>
        <v>0</v>
      </c>
      <c r="AF479" s="4">
        <f ca="1">$M$479*$Z$479</f>
        <v>7543.7643478751907</v>
      </c>
      <c r="AG479" s="4">
        <f>$O$479*$AA$479</f>
        <v>3196.4399175240947</v>
      </c>
    </row>
    <row r="480" spans="1:33" ht="11.25" customHeight="1" x14ac:dyDescent="0.25">
      <c r="A480" s="3" t="s">
        <v>21</v>
      </c>
      <c r="B480" s="3" t="s">
        <v>33</v>
      </c>
      <c r="C480" s="3" t="s">
        <v>23</v>
      </c>
      <c r="D480" s="3" t="s">
        <v>47</v>
      </c>
      <c r="E480" s="3" t="s">
        <v>48</v>
      </c>
      <c r="F480" s="3" t="s">
        <v>25</v>
      </c>
      <c r="G480" s="3" t="s">
        <v>25</v>
      </c>
      <c r="H480" s="3" t="s">
        <v>25</v>
      </c>
      <c r="I480" s="6">
        <v>44652</v>
      </c>
      <c r="J480" s="4">
        <v>0</v>
      </c>
      <c r="K480" s="52">
        <v>0</v>
      </c>
      <c r="L480" s="4">
        <v>15.797000000000001</v>
      </c>
      <c r="M480" s="52">
        <v>15.797000000000001</v>
      </c>
      <c r="N480" s="4">
        <v>15.797000000000001</v>
      </c>
      <c r="O480" s="52">
        <v>15.797000000000001</v>
      </c>
      <c r="P480" s="4">
        <v>5</v>
      </c>
      <c r="Q480" s="3" t="s">
        <v>26</v>
      </c>
      <c r="R480" s="3">
        <v>0</v>
      </c>
      <c r="S480" s="4">
        <v>0</v>
      </c>
      <c r="T480" s="4">
        <v>26</v>
      </c>
      <c r="U480" s="4">
        <v>81</v>
      </c>
      <c r="V480" s="52">
        <f>IF(ISERROR(VLOOKUP($S$480,'TAR FIN'!$A$1:$O$85,15,0)),0,VLOOKUP($S$480,'TAR FIN'!$A$1:$O$85,15,0))</f>
        <v>0</v>
      </c>
      <c r="W480" s="52">
        <f>IF(ISERROR(VLOOKUP($T$480,'TAR FIN'!$A$1:$O$85,15,0)),0,VLOOKUP($T$480,'TAR FIN'!$A$1:$O$85,15,0))*(1-0.06)</f>
        <v>345.685</v>
      </c>
      <c r="X480" s="52">
        <f>IF(ISERROR(VLOOKUP($U$480,'TAR FIN'!$A$1:$O$85,15,0)),0,VLOOKUP($U$480,'TAR FIN'!$A$1:$O$85,15,0))*(1-0.06)</f>
        <v>251.83540000000002</v>
      </c>
      <c r="Y480" s="52"/>
      <c r="Z480" s="52">
        <f ca="1">('TUSD BE'!$AM$48+'TUSD BF'!$AM$48+'TUSD CVA'!$AM$48)*1*(1-0.03)</f>
        <v>424.47469884510417</v>
      </c>
      <c r="AA480" s="52">
        <f>('TE BE'!$AB$38+'TE BF'!$AB$38+'TE CVA'!$AB$38)*1*(1-0.03)</f>
        <v>179.85819927549488</v>
      </c>
      <c r="AB480" s="4">
        <f>$K$480*$V$480</f>
        <v>0</v>
      </c>
      <c r="AC480" s="4">
        <f>$M$480*$W$480</f>
        <v>5460.7859450000005</v>
      </c>
      <c r="AD480" s="4">
        <f>$O$480*$X$480</f>
        <v>3978.2438138000007</v>
      </c>
      <c r="AE480" s="4">
        <f>$K$480*$Y$480</f>
        <v>0</v>
      </c>
      <c r="AF480" s="4">
        <f ca="1">$M$480*$Z$480</f>
        <v>6705.4268176561109</v>
      </c>
      <c r="AG480" s="4">
        <f>$O$480*$AA$480</f>
        <v>2841.2199739549928</v>
      </c>
    </row>
    <row r="481" spans="1:33" ht="11.25" customHeight="1" x14ac:dyDescent="0.25">
      <c r="A481" s="3" t="s">
        <v>21</v>
      </c>
      <c r="B481" s="3" t="s">
        <v>33</v>
      </c>
      <c r="C481" s="3" t="s">
        <v>23</v>
      </c>
      <c r="D481" s="3" t="s">
        <v>47</v>
      </c>
      <c r="E481" s="3" t="s">
        <v>48</v>
      </c>
      <c r="F481" s="3" t="s">
        <v>25</v>
      </c>
      <c r="G481" s="3" t="s">
        <v>25</v>
      </c>
      <c r="H481" s="3" t="s">
        <v>25</v>
      </c>
      <c r="I481" s="6">
        <v>44682</v>
      </c>
      <c r="J481" s="4">
        <v>0</v>
      </c>
      <c r="K481" s="52">
        <v>0</v>
      </c>
      <c r="L481" s="4">
        <v>16.427</v>
      </c>
      <c r="M481" s="52">
        <v>16.427</v>
      </c>
      <c r="N481" s="4">
        <v>16.427</v>
      </c>
      <c r="O481" s="52">
        <v>16.427</v>
      </c>
      <c r="P481" s="4">
        <v>5</v>
      </c>
      <c r="Q481" s="3" t="s">
        <v>26</v>
      </c>
      <c r="R481" s="3">
        <v>0</v>
      </c>
      <c r="S481" s="4">
        <v>0</v>
      </c>
      <c r="T481" s="4">
        <v>26</v>
      </c>
      <c r="U481" s="4">
        <v>81</v>
      </c>
      <c r="V481" s="52">
        <f>IF(ISERROR(VLOOKUP($S$481,'TAR FIN'!$A$1:$O$85,15,0)),0,VLOOKUP($S$481,'TAR FIN'!$A$1:$O$85,15,0))</f>
        <v>0</v>
      </c>
      <c r="W481" s="52">
        <f>IF(ISERROR(VLOOKUP($T$481,'TAR FIN'!$A$1:$O$85,15,0)),0,VLOOKUP($T$481,'TAR FIN'!$A$1:$O$85,15,0))*(1-0.06)</f>
        <v>345.685</v>
      </c>
      <c r="X481" s="52">
        <f>IF(ISERROR(VLOOKUP($U$481,'TAR FIN'!$A$1:$O$85,15,0)),0,VLOOKUP($U$481,'TAR FIN'!$A$1:$O$85,15,0))*(1-0.06)</f>
        <v>251.83540000000002</v>
      </c>
      <c r="Y481" s="52"/>
      <c r="Z481" s="52">
        <f ca="1">('TUSD BE'!$AM$48+'TUSD BF'!$AM$48+'TUSD CVA'!$AM$48)*1*(1-0.03)</f>
        <v>424.47469884510417</v>
      </c>
      <c r="AA481" s="52">
        <f>('TE BE'!$AB$38+'TE BF'!$AB$38+'TE CVA'!$AB$38)*1*(1-0.03)</f>
        <v>179.85819927549488</v>
      </c>
      <c r="AB481" s="4">
        <f>$K$481*$V$481</f>
        <v>0</v>
      </c>
      <c r="AC481" s="4">
        <f>$M$481*$W$481</f>
        <v>5678.5674950000002</v>
      </c>
      <c r="AD481" s="4">
        <f>$O$481*$X$481</f>
        <v>4136.9001158000001</v>
      </c>
      <c r="AE481" s="4">
        <f>$K$481*$Y$481</f>
        <v>0</v>
      </c>
      <c r="AF481" s="4">
        <f ca="1">$M$481*$Z$481</f>
        <v>6972.8458779285256</v>
      </c>
      <c r="AG481" s="4">
        <f>$O$481*$AA$481</f>
        <v>2954.5306394985546</v>
      </c>
    </row>
    <row r="482" spans="1:33" ht="11.25" customHeight="1" x14ac:dyDescent="0.25">
      <c r="A482" s="3" t="s">
        <v>21</v>
      </c>
      <c r="B482" s="3" t="s">
        <v>33</v>
      </c>
      <c r="C482" s="3" t="s">
        <v>23</v>
      </c>
      <c r="D482" s="3" t="s">
        <v>47</v>
      </c>
      <c r="E482" s="3" t="s">
        <v>48</v>
      </c>
      <c r="F482" s="3" t="s">
        <v>25</v>
      </c>
      <c r="G482" s="3" t="s">
        <v>25</v>
      </c>
      <c r="H482" s="3" t="s">
        <v>25</v>
      </c>
      <c r="I482" s="6">
        <v>44713</v>
      </c>
      <c r="J482" s="4">
        <v>0</v>
      </c>
      <c r="K482" s="52">
        <v>0</v>
      </c>
      <c r="L482" s="4">
        <v>17.219000000000001</v>
      </c>
      <c r="M482" s="52">
        <v>17.219000000000001</v>
      </c>
      <c r="N482" s="4">
        <v>17.219000000000001</v>
      </c>
      <c r="O482" s="52">
        <v>17.219000000000001</v>
      </c>
      <c r="P482" s="4">
        <v>5</v>
      </c>
      <c r="Q482" s="3" t="s">
        <v>26</v>
      </c>
      <c r="R482" s="3">
        <v>0</v>
      </c>
      <c r="S482" s="4">
        <v>0</v>
      </c>
      <c r="T482" s="4">
        <v>26</v>
      </c>
      <c r="U482" s="4">
        <v>81</v>
      </c>
      <c r="V482" s="52">
        <f>IF(ISERROR(VLOOKUP($S$482,'TAR FIN'!$A$1:$O$85,15,0)),0,VLOOKUP($S$482,'TAR FIN'!$A$1:$O$85,15,0))</f>
        <v>0</v>
      </c>
      <c r="W482" s="52">
        <f>IF(ISERROR(VLOOKUP($T$482,'TAR FIN'!$A$1:$O$85,15,0)),0,VLOOKUP($T$482,'TAR FIN'!$A$1:$O$85,15,0))*(1-0.06)</f>
        <v>345.685</v>
      </c>
      <c r="X482" s="52">
        <f>IF(ISERROR(VLOOKUP($U$482,'TAR FIN'!$A$1:$O$85,15,0)),0,VLOOKUP($U$482,'TAR FIN'!$A$1:$O$85,15,0))*(1-0.06)</f>
        <v>251.83540000000002</v>
      </c>
      <c r="Y482" s="52"/>
      <c r="Z482" s="52">
        <f ca="1">('TUSD BE'!$AM$48+'TUSD BF'!$AM$48+'TUSD CVA'!$AM$48)*1*(1-0.03)</f>
        <v>424.47469884510417</v>
      </c>
      <c r="AA482" s="52">
        <f>('TE BE'!$AB$38+'TE BF'!$AB$38+'TE CVA'!$AB$38)*1*(1-0.03)</f>
        <v>179.85819927549488</v>
      </c>
      <c r="AB482" s="4">
        <f>$K$482*$V$482</f>
        <v>0</v>
      </c>
      <c r="AC482" s="4">
        <f>$M$482*$W$482</f>
        <v>5952.3500150000009</v>
      </c>
      <c r="AD482" s="4">
        <f>$O$482*$X$482</f>
        <v>4336.3537526000009</v>
      </c>
      <c r="AE482" s="4">
        <f>$K$482*$Y$482</f>
        <v>0</v>
      </c>
      <c r="AF482" s="4">
        <f ca="1">$M$482*$Z$482</f>
        <v>7309.029839413849</v>
      </c>
      <c r="AG482" s="4">
        <f>$O$482*$AA$482</f>
        <v>3096.9783333247465</v>
      </c>
    </row>
    <row r="483" spans="1:33" ht="11.25" customHeight="1" x14ac:dyDescent="0.25">
      <c r="A483" s="3" t="s">
        <v>21</v>
      </c>
      <c r="B483" s="3" t="s">
        <v>33</v>
      </c>
      <c r="C483" s="3" t="s">
        <v>23</v>
      </c>
      <c r="D483" s="3" t="s">
        <v>47</v>
      </c>
      <c r="E483" s="3" t="s">
        <v>48</v>
      </c>
      <c r="F483" s="3" t="s">
        <v>25</v>
      </c>
      <c r="G483" s="3" t="s">
        <v>25</v>
      </c>
      <c r="H483" s="3" t="s">
        <v>25</v>
      </c>
      <c r="I483" s="6">
        <v>44743</v>
      </c>
      <c r="J483" s="4">
        <v>0</v>
      </c>
      <c r="K483" s="52">
        <v>0</v>
      </c>
      <c r="L483" s="4">
        <v>16.811</v>
      </c>
      <c r="M483" s="52">
        <v>16.811</v>
      </c>
      <c r="N483" s="4">
        <v>16.811</v>
      </c>
      <c r="O483" s="52">
        <v>16.811</v>
      </c>
      <c r="P483" s="4">
        <v>5</v>
      </c>
      <c r="Q483" s="3" t="s">
        <v>26</v>
      </c>
      <c r="R483" s="3">
        <v>0</v>
      </c>
      <c r="S483" s="4">
        <v>0</v>
      </c>
      <c r="T483" s="4">
        <v>26</v>
      </c>
      <c r="U483" s="4">
        <v>81</v>
      </c>
      <c r="V483" s="52">
        <f>IF(ISERROR(VLOOKUP($S$483,'TAR FIN'!$A$1:$O$85,15,0)),0,VLOOKUP($S$483,'TAR FIN'!$A$1:$O$85,15,0))</f>
        <v>0</v>
      </c>
      <c r="W483" s="52">
        <f>IF(ISERROR(VLOOKUP($T$483,'TAR FIN'!$A$1:$O$85,15,0)),0,VLOOKUP($T$483,'TAR FIN'!$A$1:$O$85,15,0))*(1-0.06)</f>
        <v>345.685</v>
      </c>
      <c r="X483" s="52">
        <f>IF(ISERROR(VLOOKUP($U$483,'TAR FIN'!$A$1:$O$85,15,0)),0,VLOOKUP($U$483,'TAR FIN'!$A$1:$O$85,15,0))*(1-0.06)</f>
        <v>251.83540000000002</v>
      </c>
      <c r="Y483" s="52"/>
      <c r="Z483" s="52">
        <f ca="1">('TUSD BE'!$AM$48+'TUSD BF'!$AM$48+'TUSD CVA'!$AM$48)*1*(1-0.03)</f>
        <v>424.47469884510417</v>
      </c>
      <c r="AA483" s="52">
        <f>('TE BE'!$AB$38+'TE BF'!$AB$38+'TE CVA'!$AB$38)*1*(1-0.03)</f>
        <v>179.85819927549488</v>
      </c>
      <c r="AB483" s="4">
        <f>$K$483*$V$483</f>
        <v>0</v>
      </c>
      <c r="AC483" s="4">
        <f>$M$483*$W$483</f>
        <v>5811.3105349999996</v>
      </c>
      <c r="AD483" s="4">
        <f>$O$483*$X$483</f>
        <v>4233.6049094</v>
      </c>
      <c r="AE483" s="4">
        <f>$K$483*$Y$483</f>
        <v>0</v>
      </c>
      <c r="AF483" s="4">
        <f ca="1">$M$483*$Z$483</f>
        <v>7135.844162285046</v>
      </c>
      <c r="AG483" s="4">
        <f>$O$483*$AA$483</f>
        <v>3023.5961880203445</v>
      </c>
    </row>
    <row r="484" spans="1:33" ht="11.25" customHeight="1" x14ac:dyDescent="0.25">
      <c r="A484" s="3" t="s">
        <v>21</v>
      </c>
      <c r="B484" s="3" t="s">
        <v>33</v>
      </c>
      <c r="C484" s="3" t="s">
        <v>23</v>
      </c>
      <c r="D484" s="3" t="s">
        <v>47</v>
      </c>
      <c r="E484" s="3" t="s">
        <v>48</v>
      </c>
      <c r="F484" s="3" t="s">
        <v>25</v>
      </c>
      <c r="G484" s="3" t="s">
        <v>25</v>
      </c>
      <c r="H484" s="3" t="s">
        <v>25</v>
      </c>
      <c r="I484" s="6">
        <v>44774</v>
      </c>
      <c r="J484" s="4">
        <v>0</v>
      </c>
      <c r="K484" s="52">
        <v>0</v>
      </c>
      <c r="L484" s="4">
        <v>17.783000000000001</v>
      </c>
      <c r="M484" s="52">
        <v>17.783000000000001</v>
      </c>
      <c r="N484" s="4">
        <v>17.783000000000001</v>
      </c>
      <c r="O484" s="52">
        <v>17.783000000000001</v>
      </c>
      <c r="P484" s="4">
        <v>5</v>
      </c>
      <c r="Q484" s="3" t="s">
        <v>26</v>
      </c>
      <c r="R484" s="3">
        <v>0</v>
      </c>
      <c r="S484" s="4">
        <v>0</v>
      </c>
      <c r="T484" s="4">
        <v>26</v>
      </c>
      <c r="U484" s="4">
        <v>81</v>
      </c>
      <c r="V484" s="52">
        <f>IF(ISERROR(VLOOKUP($S$484,'TAR FIN'!$A$1:$O$85,15,0)),0,VLOOKUP($S$484,'TAR FIN'!$A$1:$O$85,15,0))</f>
        <v>0</v>
      </c>
      <c r="W484" s="52">
        <f>IF(ISERROR(VLOOKUP($T$484,'TAR FIN'!$A$1:$O$85,15,0)),0,VLOOKUP($T$484,'TAR FIN'!$A$1:$O$85,15,0))*(1-0.06)</f>
        <v>345.685</v>
      </c>
      <c r="X484" s="52">
        <f>IF(ISERROR(VLOOKUP($U$484,'TAR FIN'!$A$1:$O$85,15,0)),0,VLOOKUP($U$484,'TAR FIN'!$A$1:$O$85,15,0))*(1-0.06)</f>
        <v>251.83540000000002</v>
      </c>
      <c r="Y484" s="52"/>
      <c r="Z484" s="52">
        <f ca="1">('TUSD BE'!$AM$48+'TUSD BF'!$AM$48+'TUSD CVA'!$AM$48)*1*(1-0.03)</f>
        <v>424.47469884510417</v>
      </c>
      <c r="AA484" s="52">
        <f>('TE BE'!$AB$38+'TE BF'!$AB$38+'TE CVA'!$AB$38)*1*(1-0.03)</f>
        <v>179.85819927549488</v>
      </c>
      <c r="AB484" s="4">
        <f>$K$484*$V$484</f>
        <v>0</v>
      </c>
      <c r="AC484" s="4">
        <f>$M$484*$W$484</f>
        <v>6147.3163550000008</v>
      </c>
      <c r="AD484" s="4">
        <f>$O$484*$X$484</f>
        <v>4478.3889182000003</v>
      </c>
      <c r="AE484" s="4">
        <f>$K$484*$Y$484</f>
        <v>0</v>
      </c>
      <c r="AF484" s="4">
        <f ca="1">$M$484*$Z$484</f>
        <v>7548.4335695624877</v>
      </c>
      <c r="AG484" s="4">
        <f>$O$484*$AA$484</f>
        <v>3198.4183577161257</v>
      </c>
    </row>
    <row r="485" spans="1:33" ht="11.25" customHeight="1" x14ac:dyDescent="0.25">
      <c r="A485" s="3" t="s">
        <v>21</v>
      </c>
      <c r="B485" s="3" t="s">
        <v>43</v>
      </c>
      <c r="C485" s="3" t="s">
        <v>23</v>
      </c>
      <c r="D485" s="3" t="s">
        <v>44</v>
      </c>
      <c r="E485" s="3" t="s">
        <v>45</v>
      </c>
      <c r="F485" s="3" t="s">
        <v>25</v>
      </c>
      <c r="G485" s="3" t="s">
        <v>25</v>
      </c>
      <c r="H485" s="3" t="s">
        <v>25</v>
      </c>
      <c r="I485" s="6">
        <v>44440</v>
      </c>
      <c r="J485" s="4">
        <v>0</v>
      </c>
      <c r="K485" s="4">
        <v>0</v>
      </c>
      <c r="L485" s="4">
        <v>63.576000000000001</v>
      </c>
      <c r="M485" s="4">
        <v>63.576000000000001</v>
      </c>
      <c r="N485" s="4">
        <v>63.576000000000001</v>
      </c>
      <c r="O485" s="4">
        <v>63.576000000000001</v>
      </c>
      <c r="P485" s="4">
        <v>4</v>
      </c>
      <c r="Q485" s="3" t="s">
        <v>26</v>
      </c>
      <c r="R485" s="3">
        <v>0</v>
      </c>
      <c r="S485" s="4">
        <v>0</v>
      </c>
      <c r="T485" s="4">
        <v>58</v>
      </c>
      <c r="U485" s="4">
        <v>83</v>
      </c>
      <c r="V485" s="4">
        <f>IF(ISERROR(VLOOKUP($S$485,'TAR FIN'!$A$1:$O$85,15,0)),0,VLOOKUP($S$485,'TAR FIN'!$A$1:$O$85,15,0))</f>
        <v>0</v>
      </c>
      <c r="W485" s="4">
        <f>IF(ISERROR(VLOOKUP($T$485,'TAR FIN'!$A$1:$O$85,15,0)),0,VLOOKUP($T$485,'TAR FIN'!$A$1:$O$85,15,0))</f>
        <v>202.26</v>
      </c>
      <c r="X485" s="4">
        <f>IF(ISERROR(VLOOKUP($U$485,'TAR FIN'!$A$1:$O$85,15,0)),0,VLOOKUP($U$485,'TAR FIN'!$A$1:$O$85,15,0))</f>
        <v>147.35</v>
      </c>
      <c r="Y485" s="4"/>
      <c r="Z485" s="4">
        <f ca="1">('TUSD BE'!$AM$50+'TUSD BF'!$AM$50+'TUSD CVA'!$AM$50)*1</f>
        <v>240.68153027299718</v>
      </c>
      <c r="AA485" s="4">
        <f>('TE BE'!$AB$40+'TE BF'!$AB$40+'TE CVA'!$AB$40)*1</f>
        <v>101.98145319744556</v>
      </c>
      <c r="AB485" s="4">
        <f>$K$485*$V$485</f>
        <v>0</v>
      </c>
      <c r="AC485" s="4">
        <f>$M$485*$W$485</f>
        <v>12858.88176</v>
      </c>
      <c r="AD485" s="4">
        <f>$O$485*$X$485</f>
        <v>9367.9236000000001</v>
      </c>
      <c r="AE485" s="4">
        <f>$K$485*$Y$485</f>
        <v>0</v>
      </c>
      <c r="AF485" s="4">
        <f ca="1">$M$485*$Z$485</f>
        <v>15301.568968636069</v>
      </c>
      <c r="AG485" s="4">
        <f>$O$485*$AA$485</f>
        <v>6483.5728684807991</v>
      </c>
    </row>
    <row r="486" spans="1:33" ht="11.25" customHeight="1" x14ac:dyDescent="0.25">
      <c r="A486" s="3" t="s">
        <v>21</v>
      </c>
      <c r="B486" s="3" t="s">
        <v>43</v>
      </c>
      <c r="C486" s="3" t="s">
        <v>23</v>
      </c>
      <c r="D486" s="3" t="s">
        <v>44</v>
      </c>
      <c r="E486" s="3" t="s">
        <v>45</v>
      </c>
      <c r="F486" s="3" t="s">
        <v>25</v>
      </c>
      <c r="G486" s="3" t="s">
        <v>25</v>
      </c>
      <c r="H486" s="3" t="s">
        <v>25</v>
      </c>
      <c r="I486" s="6">
        <v>44470</v>
      </c>
      <c r="J486" s="4">
        <v>0</v>
      </c>
      <c r="K486" s="4">
        <v>0</v>
      </c>
      <c r="L486" s="4">
        <v>65.489000000000004</v>
      </c>
      <c r="M486" s="4">
        <v>65.489000000000004</v>
      </c>
      <c r="N486" s="4">
        <v>65.489000000000004</v>
      </c>
      <c r="O486" s="4">
        <v>65.489000000000004</v>
      </c>
      <c r="P486" s="4">
        <v>4</v>
      </c>
      <c r="Q486" s="3" t="s">
        <v>26</v>
      </c>
      <c r="R486" s="3">
        <v>0</v>
      </c>
      <c r="S486" s="4">
        <v>0</v>
      </c>
      <c r="T486" s="4">
        <v>58</v>
      </c>
      <c r="U486" s="4">
        <v>83</v>
      </c>
      <c r="V486" s="4">
        <f>IF(ISERROR(VLOOKUP($S$486,'TAR FIN'!$A$1:$O$85,15,0)),0,VLOOKUP($S$486,'TAR FIN'!$A$1:$O$85,15,0))</f>
        <v>0</v>
      </c>
      <c r="W486" s="4">
        <f>IF(ISERROR(VLOOKUP($T$486,'TAR FIN'!$A$1:$O$85,15,0)),0,VLOOKUP($T$486,'TAR FIN'!$A$1:$O$85,15,0))</f>
        <v>202.26</v>
      </c>
      <c r="X486" s="4">
        <f>IF(ISERROR(VLOOKUP($U$486,'TAR FIN'!$A$1:$O$85,15,0)),0,VLOOKUP($U$486,'TAR FIN'!$A$1:$O$85,15,0))</f>
        <v>147.35</v>
      </c>
      <c r="Y486" s="4"/>
      <c r="Z486" s="4">
        <f ca="1">('TUSD BE'!$AM$50+'TUSD BF'!$AM$50+'TUSD CVA'!$AM$50)*1</f>
        <v>240.68153027299718</v>
      </c>
      <c r="AA486" s="4">
        <f>('TE BE'!$AB$40+'TE BF'!$AB$40+'TE CVA'!$AB$40)*1</f>
        <v>101.98145319744556</v>
      </c>
      <c r="AB486" s="4">
        <f>$K$486*$V$486</f>
        <v>0</v>
      </c>
      <c r="AC486" s="4">
        <f>$M$486*$W$486</f>
        <v>13245.80514</v>
      </c>
      <c r="AD486" s="4">
        <f>$O$486*$X$486</f>
        <v>9649.8041499999999</v>
      </c>
      <c r="AE486" s="4">
        <f>$K$486*$Y$486</f>
        <v>0</v>
      </c>
      <c r="AF486" s="4">
        <f ca="1">$M$486*$Z$486</f>
        <v>15761.992736048313</v>
      </c>
      <c r="AG486" s="4">
        <f>$O$486*$AA$486</f>
        <v>6678.6633884475132</v>
      </c>
    </row>
    <row r="487" spans="1:33" ht="11.25" customHeight="1" x14ac:dyDescent="0.25">
      <c r="A487" s="3" t="s">
        <v>21</v>
      </c>
      <c r="B487" s="3" t="s">
        <v>43</v>
      </c>
      <c r="C487" s="3" t="s">
        <v>23</v>
      </c>
      <c r="D487" s="3" t="s">
        <v>44</v>
      </c>
      <c r="E487" s="3" t="s">
        <v>45</v>
      </c>
      <c r="F487" s="3" t="s">
        <v>25</v>
      </c>
      <c r="G487" s="3" t="s">
        <v>25</v>
      </c>
      <c r="H487" s="3" t="s">
        <v>25</v>
      </c>
      <c r="I487" s="6">
        <v>44501</v>
      </c>
      <c r="J487" s="4">
        <v>0</v>
      </c>
      <c r="K487" s="4">
        <v>0</v>
      </c>
      <c r="L487" s="4">
        <v>65.093000000000004</v>
      </c>
      <c r="M487" s="4">
        <v>65.093000000000004</v>
      </c>
      <c r="N487" s="4">
        <v>65.093000000000004</v>
      </c>
      <c r="O487" s="4">
        <v>65.093000000000004</v>
      </c>
      <c r="P487" s="4">
        <v>5</v>
      </c>
      <c r="Q487" s="3" t="s">
        <v>26</v>
      </c>
      <c r="R487" s="3">
        <v>0</v>
      </c>
      <c r="S487" s="4">
        <v>0</v>
      </c>
      <c r="T487" s="4">
        <v>58</v>
      </c>
      <c r="U487" s="4">
        <v>83</v>
      </c>
      <c r="V487" s="4">
        <f>IF(ISERROR(VLOOKUP($S$487,'TAR FIN'!$A$1:$O$85,15,0)),0,VLOOKUP($S$487,'TAR FIN'!$A$1:$O$85,15,0))</f>
        <v>0</v>
      </c>
      <c r="W487" s="4">
        <f>IF(ISERROR(VLOOKUP($T$487,'TAR FIN'!$A$1:$O$85,15,0)),0,VLOOKUP($T$487,'TAR FIN'!$A$1:$O$85,15,0))</f>
        <v>202.26</v>
      </c>
      <c r="X487" s="4">
        <f>IF(ISERROR(VLOOKUP($U$487,'TAR FIN'!$A$1:$O$85,15,0)),0,VLOOKUP($U$487,'TAR FIN'!$A$1:$O$85,15,0))</f>
        <v>147.35</v>
      </c>
      <c r="Y487" s="4"/>
      <c r="Z487" s="4">
        <f ca="1">('TUSD BE'!$AM$50+'TUSD BF'!$AM$50+'TUSD CVA'!$AM$50)*1</f>
        <v>240.68153027299718</v>
      </c>
      <c r="AA487" s="4">
        <f>('TE BE'!$AB$40+'TE BF'!$AB$40+'TE CVA'!$AB$40)*1</f>
        <v>101.98145319744556</v>
      </c>
      <c r="AB487" s="4">
        <f>$K$487*$V$487</f>
        <v>0</v>
      </c>
      <c r="AC487" s="4">
        <f>$M$487*$W$487</f>
        <v>13165.71018</v>
      </c>
      <c r="AD487" s="4">
        <f>$O$487*$X$487</f>
        <v>9591.4535500000002</v>
      </c>
      <c r="AE487" s="4">
        <f>$K$487*$Y$487</f>
        <v>0</v>
      </c>
      <c r="AF487" s="4">
        <f ca="1">$M$487*$Z$487</f>
        <v>15666.682850060206</v>
      </c>
      <c r="AG487" s="4">
        <f>$O$487*$AA$487</f>
        <v>6638.2787329813245</v>
      </c>
    </row>
    <row r="488" spans="1:33" ht="11.25" customHeight="1" x14ac:dyDescent="0.25">
      <c r="A488" s="3" t="s">
        <v>21</v>
      </c>
      <c r="B488" s="3" t="s">
        <v>43</v>
      </c>
      <c r="C488" s="3" t="s">
        <v>23</v>
      </c>
      <c r="D488" s="3" t="s">
        <v>44</v>
      </c>
      <c r="E488" s="3" t="s">
        <v>45</v>
      </c>
      <c r="F488" s="3" t="s">
        <v>25</v>
      </c>
      <c r="G488" s="3" t="s">
        <v>25</v>
      </c>
      <c r="H488" s="3" t="s">
        <v>25</v>
      </c>
      <c r="I488" s="6">
        <v>44531</v>
      </c>
      <c r="J488" s="4">
        <v>0</v>
      </c>
      <c r="K488" s="4">
        <v>0</v>
      </c>
      <c r="L488" s="4">
        <v>66.756</v>
      </c>
      <c r="M488" s="4">
        <v>66.756</v>
      </c>
      <c r="N488" s="4">
        <v>66.756</v>
      </c>
      <c r="O488" s="4">
        <v>66.756</v>
      </c>
      <c r="P488" s="4">
        <v>5</v>
      </c>
      <c r="Q488" s="3" t="s">
        <v>26</v>
      </c>
      <c r="R488" s="3">
        <v>0</v>
      </c>
      <c r="S488" s="4">
        <v>0</v>
      </c>
      <c r="T488" s="4">
        <v>58</v>
      </c>
      <c r="U488" s="4">
        <v>83</v>
      </c>
      <c r="V488" s="4">
        <f>IF(ISERROR(VLOOKUP($S$488,'TAR FIN'!$A$1:$O$85,15,0)),0,VLOOKUP($S$488,'TAR FIN'!$A$1:$O$85,15,0))</f>
        <v>0</v>
      </c>
      <c r="W488" s="4">
        <f>IF(ISERROR(VLOOKUP($T$488,'TAR FIN'!$A$1:$O$85,15,0)),0,VLOOKUP($T$488,'TAR FIN'!$A$1:$O$85,15,0))</f>
        <v>202.26</v>
      </c>
      <c r="X488" s="4">
        <f>IF(ISERROR(VLOOKUP($U$488,'TAR FIN'!$A$1:$O$85,15,0)),0,VLOOKUP($U$488,'TAR FIN'!$A$1:$O$85,15,0))</f>
        <v>147.35</v>
      </c>
      <c r="Y488" s="4"/>
      <c r="Z488" s="4">
        <f ca="1">('TUSD BE'!$AM$50+'TUSD BF'!$AM$50+'TUSD CVA'!$AM$50)*1</f>
        <v>240.68153027299718</v>
      </c>
      <c r="AA488" s="4">
        <f>('TE BE'!$AB$40+'TE BF'!$AB$40+'TE CVA'!$AB$40)*1</f>
        <v>101.98145319744556</v>
      </c>
      <c r="AB488" s="4">
        <f>$K$488*$V$488</f>
        <v>0</v>
      </c>
      <c r="AC488" s="4">
        <f>$M$488*$W$488</f>
        <v>13502.06856</v>
      </c>
      <c r="AD488" s="4">
        <f>$O$488*$X$488</f>
        <v>9836.4966000000004</v>
      </c>
      <c r="AE488" s="4">
        <f>$K$488*$Y$488</f>
        <v>0</v>
      </c>
      <c r="AF488" s="4">
        <f ca="1">$M$488*$Z$488</f>
        <v>16066.9362349042</v>
      </c>
      <c r="AG488" s="4">
        <f>$O$488*$AA$488</f>
        <v>6807.8738896486757</v>
      </c>
    </row>
    <row r="489" spans="1:33" ht="11.25" customHeight="1" x14ac:dyDescent="0.25">
      <c r="A489" s="3" t="s">
        <v>21</v>
      </c>
      <c r="B489" s="3" t="s">
        <v>43</v>
      </c>
      <c r="C489" s="3" t="s">
        <v>23</v>
      </c>
      <c r="D489" s="3" t="s">
        <v>44</v>
      </c>
      <c r="E489" s="3" t="s">
        <v>45</v>
      </c>
      <c r="F489" s="3" t="s">
        <v>25</v>
      </c>
      <c r="G489" s="3" t="s">
        <v>25</v>
      </c>
      <c r="H489" s="3" t="s">
        <v>25</v>
      </c>
      <c r="I489" s="6">
        <v>44562</v>
      </c>
      <c r="J489" s="4">
        <v>0</v>
      </c>
      <c r="K489" s="4">
        <v>0</v>
      </c>
      <c r="L489" s="4">
        <v>66.445999999999998</v>
      </c>
      <c r="M489" s="4">
        <v>66.445999999999998</v>
      </c>
      <c r="N489" s="4">
        <v>66.445999999999998</v>
      </c>
      <c r="O489" s="4">
        <v>66.445999999999998</v>
      </c>
      <c r="P489" s="4">
        <v>5</v>
      </c>
      <c r="Q489" s="3" t="s">
        <v>26</v>
      </c>
      <c r="R489" s="3">
        <v>0</v>
      </c>
      <c r="S489" s="4">
        <v>0</v>
      </c>
      <c r="T489" s="4">
        <v>58</v>
      </c>
      <c r="U489" s="4">
        <v>83</v>
      </c>
      <c r="V489" s="4">
        <f>IF(ISERROR(VLOOKUP($S$489,'TAR FIN'!$A$1:$O$85,15,0)),0,VLOOKUP($S$489,'TAR FIN'!$A$1:$O$85,15,0))</f>
        <v>0</v>
      </c>
      <c r="W489" s="4">
        <f>IF(ISERROR(VLOOKUP($T$489,'TAR FIN'!$A$1:$O$85,15,0)),0,VLOOKUP($T$489,'TAR FIN'!$A$1:$O$85,15,0))</f>
        <v>202.26</v>
      </c>
      <c r="X489" s="4">
        <f>IF(ISERROR(VLOOKUP($U$489,'TAR FIN'!$A$1:$O$85,15,0)),0,VLOOKUP($U$489,'TAR FIN'!$A$1:$O$85,15,0))</f>
        <v>147.35</v>
      </c>
      <c r="Y489" s="4"/>
      <c r="Z489" s="4">
        <f ca="1">('TUSD BE'!$AM$50+'TUSD BF'!$AM$50+'TUSD CVA'!$AM$50)*1</f>
        <v>240.68153027299718</v>
      </c>
      <c r="AA489" s="4">
        <f>('TE BE'!$AB$40+'TE BF'!$AB$40+'TE CVA'!$AB$40)*1</f>
        <v>101.98145319744556</v>
      </c>
      <c r="AB489" s="4">
        <f>$K$489*$V$489</f>
        <v>0</v>
      </c>
      <c r="AC489" s="4">
        <f>$M$489*$W$489</f>
        <v>13439.36796</v>
      </c>
      <c r="AD489" s="4">
        <f>$O$489*$X$489</f>
        <v>9790.8180999999986</v>
      </c>
      <c r="AE489" s="4">
        <f>$K$489*$Y$489</f>
        <v>0</v>
      </c>
      <c r="AF489" s="4">
        <f ca="1">$M$489*$Z$489</f>
        <v>15992.324960519571</v>
      </c>
      <c r="AG489" s="4">
        <f>$O$489*$AA$489</f>
        <v>6776.2596391574671</v>
      </c>
    </row>
    <row r="490" spans="1:33" ht="11.25" customHeight="1" x14ac:dyDescent="0.25">
      <c r="A490" s="3" t="s">
        <v>21</v>
      </c>
      <c r="B490" s="3" t="s">
        <v>43</v>
      </c>
      <c r="C490" s="3" t="s">
        <v>23</v>
      </c>
      <c r="D490" s="3" t="s">
        <v>44</v>
      </c>
      <c r="E490" s="3" t="s">
        <v>45</v>
      </c>
      <c r="F490" s="3" t="s">
        <v>25</v>
      </c>
      <c r="G490" s="3" t="s">
        <v>25</v>
      </c>
      <c r="H490" s="3" t="s">
        <v>25</v>
      </c>
      <c r="I490" s="6">
        <v>44593</v>
      </c>
      <c r="J490" s="4">
        <v>0</v>
      </c>
      <c r="K490" s="4">
        <v>0</v>
      </c>
      <c r="L490" s="4">
        <v>60.360999999999997</v>
      </c>
      <c r="M490" s="4">
        <v>60.360999999999997</v>
      </c>
      <c r="N490" s="4">
        <v>60.360999999999997</v>
      </c>
      <c r="O490" s="4">
        <v>60.360999999999997</v>
      </c>
      <c r="P490" s="4">
        <v>4</v>
      </c>
      <c r="Q490" s="3" t="s">
        <v>26</v>
      </c>
      <c r="R490" s="3">
        <v>0</v>
      </c>
      <c r="S490" s="4">
        <v>0</v>
      </c>
      <c r="T490" s="4">
        <v>58</v>
      </c>
      <c r="U490" s="4">
        <v>83</v>
      </c>
      <c r="V490" s="4">
        <f>IF(ISERROR(VLOOKUP($S$490,'TAR FIN'!$A$1:$O$85,15,0)),0,VLOOKUP($S$490,'TAR FIN'!$A$1:$O$85,15,0))</f>
        <v>0</v>
      </c>
      <c r="W490" s="4">
        <f>IF(ISERROR(VLOOKUP($T$490,'TAR FIN'!$A$1:$O$85,15,0)),0,VLOOKUP($T$490,'TAR FIN'!$A$1:$O$85,15,0))</f>
        <v>202.26</v>
      </c>
      <c r="X490" s="4">
        <f>IF(ISERROR(VLOOKUP($U$490,'TAR FIN'!$A$1:$O$85,15,0)),0,VLOOKUP($U$490,'TAR FIN'!$A$1:$O$85,15,0))</f>
        <v>147.35</v>
      </c>
      <c r="Y490" s="4"/>
      <c r="Z490" s="4">
        <f ca="1">('TUSD BE'!$AM$50+'TUSD BF'!$AM$50+'TUSD CVA'!$AM$50)*1</f>
        <v>240.68153027299718</v>
      </c>
      <c r="AA490" s="4">
        <f>('TE BE'!$AB$40+'TE BF'!$AB$40+'TE CVA'!$AB$40)*1</f>
        <v>101.98145319744556</v>
      </c>
      <c r="AB490" s="4">
        <f>$K$490*$V$490</f>
        <v>0</v>
      </c>
      <c r="AC490" s="4">
        <f>$M$490*$W$490</f>
        <v>12208.615859999998</v>
      </c>
      <c r="AD490" s="4">
        <f>$O$490*$X$490</f>
        <v>8894.1933499999996</v>
      </c>
      <c r="AE490" s="4">
        <f>$K$490*$Y$490</f>
        <v>0</v>
      </c>
      <c r="AF490" s="4">
        <f ca="1">$M$490*$Z$490</f>
        <v>14527.777848808382</v>
      </c>
      <c r="AG490" s="4">
        <f>$O$490*$AA$490</f>
        <v>6155.702496451011</v>
      </c>
    </row>
    <row r="491" spans="1:33" ht="11.25" customHeight="1" x14ac:dyDescent="0.25">
      <c r="A491" s="3" t="s">
        <v>21</v>
      </c>
      <c r="B491" s="3" t="s">
        <v>43</v>
      </c>
      <c r="C491" s="3" t="s">
        <v>23</v>
      </c>
      <c r="D491" s="3" t="s">
        <v>44</v>
      </c>
      <c r="E491" s="3" t="s">
        <v>45</v>
      </c>
      <c r="F491" s="3" t="s">
        <v>25</v>
      </c>
      <c r="G491" s="3" t="s">
        <v>25</v>
      </c>
      <c r="H491" s="3" t="s">
        <v>25</v>
      </c>
      <c r="I491" s="6">
        <v>44621</v>
      </c>
      <c r="J491" s="4">
        <v>0</v>
      </c>
      <c r="K491" s="4">
        <v>0</v>
      </c>
      <c r="L491" s="4">
        <v>66.873999999999995</v>
      </c>
      <c r="M491" s="4">
        <v>66.873999999999995</v>
      </c>
      <c r="N491" s="4">
        <v>66.873999999999995</v>
      </c>
      <c r="O491" s="4">
        <v>66.873999999999995</v>
      </c>
      <c r="P491" s="4">
        <v>5</v>
      </c>
      <c r="Q491" s="3" t="s">
        <v>26</v>
      </c>
      <c r="R491" s="3">
        <v>0</v>
      </c>
      <c r="S491" s="4">
        <v>0</v>
      </c>
      <c r="T491" s="4">
        <v>58</v>
      </c>
      <c r="U491" s="4">
        <v>83</v>
      </c>
      <c r="V491" s="4">
        <f>IF(ISERROR(VLOOKUP($S$491,'TAR FIN'!$A$1:$O$85,15,0)),0,VLOOKUP($S$491,'TAR FIN'!$A$1:$O$85,15,0))</f>
        <v>0</v>
      </c>
      <c r="W491" s="4">
        <f>IF(ISERROR(VLOOKUP($T$491,'TAR FIN'!$A$1:$O$85,15,0)),0,VLOOKUP($T$491,'TAR FIN'!$A$1:$O$85,15,0))</f>
        <v>202.26</v>
      </c>
      <c r="X491" s="4">
        <f>IF(ISERROR(VLOOKUP($U$491,'TAR FIN'!$A$1:$O$85,15,0)),0,VLOOKUP($U$491,'TAR FIN'!$A$1:$O$85,15,0))</f>
        <v>147.35</v>
      </c>
      <c r="Y491" s="4"/>
      <c r="Z491" s="4">
        <f ca="1">('TUSD BE'!$AM$50+'TUSD BF'!$AM$50+'TUSD CVA'!$AM$50)*1</f>
        <v>240.68153027299718</v>
      </c>
      <c r="AA491" s="4">
        <f>('TE BE'!$AB$40+'TE BF'!$AB$40+'TE CVA'!$AB$40)*1</f>
        <v>101.98145319744556</v>
      </c>
      <c r="AB491" s="4">
        <f>$K$491*$V$491</f>
        <v>0</v>
      </c>
      <c r="AC491" s="4">
        <f>$M$491*$W$491</f>
        <v>13525.935239999999</v>
      </c>
      <c r="AD491" s="4">
        <f>$O$491*$X$491</f>
        <v>9853.8838999999989</v>
      </c>
      <c r="AE491" s="4">
        <f>$K$491*$Y$491</f>
        <v>0</v>
      </c>
      <c r="AF491" s="4">
        <f ca="1">$M$491*$Z$491</f>
        <v>16095.336655476412</v>
      </c>
      <c r="AG491" s="4">
        <f>$O$491*$AA$491</f>
        <v>6819.9077011259742</v>
      </c>
    </row>
    <row r="492" spans="1:33" ht="11.25" customHeight="1" x14ac:dyDescent="0.25">
      <c r="A492" s="3" t="s">
        <v>21</v>
      </c>
      <c r="B492" s="3" t="s">
        <v>43</v>
      </c>
      <c r="C492" s="3" t="s">
        <v>23</v>
      </c>
      <c r="D492" s="3" t="s">
        <v>44</v>
      </c>
      <c r="E492" s="3" t="s">
        <v>45</v>
      </c>
      <c r="F492" s="3" t="s">
        <v>25</v>
      </c>
      <c r="G492" s="3" t="s">
        <v>25</v>
      </c>
      <c r="H492" s="3" t="s">
        <v>25</v>
      </c>
      <c r="I492" s="6">
        <v>44652</v>
      </c>
      <c r="J492" s="4">
        <v>0</v>
      </c>
      <c r="K492" s="4">
        <v>0</v>
      </c>
      <c r="L492" s="4">
        <v>66.096000000000004</v>
      </c>
      <c r="M492" s="4">
        <v>66.096000000000004</v>
      </c>
      <c r="N492" s="4">
        <v>66.096000000000004</v>
      </c>
      <c r="O492" s="4">
        <v>66.096000000000004</v>
      </c>
      <c r="P492" s="4">
        <v>5</v>
      </c>
      <c r="Q492" s="3" t="s">
        <v>26</v>
      </c>
      <c r="R492" s="3">
        <v>0</v>
      </c>
      <c r="S492" s="4">
        <v>0</v>
      </c>
      <c r="T492" s="4">
        <v>58</v>
      </c>
      <c r="U492" s="4">
        <v>83</v>
      </c>
      <c r="V492" s="4">
        <f>IF(ISERROR(VLOOKUP($S$492,'TAR FIN'!$A$1:$O$85,15,0)),0,VLOOKUP($S$492,'TAR FIN'!$A$1:$O$85,15,0))</f>
        <v>0</v>
      </c>
      <c r="W492" s="4">
        <f>IF(ISERROR(VLOOKUP($T$492,'TAR FIN'!$A$1:$O$85,15,0)),0,VLOOKUP($T$492,'TAR FIN'!$A$1:$O$85,15,0))</f>
        <v>202.26</v>
      </c>
      <c r="X492" s="4">
        <f>IF(ISERROR(VLOOKUP($U$492,'TAR FIN'!$A$1:$O$85,15,0)),0,VLOOKUP($U$492,'TAR FIN'!$A$1:$O$85,15,0))</f>
        <v>147.35</v>
      </c>
      <c r="Y492" s="4"/>
      <c r="Z492" s="4">
        <f ca="1">('TUSD BE'!$AM$50+'TUSD BF'!$AM$50+'TUSD CVA'!$AM$50)*1</f>
        <v>240.68153027299718</v>
      </c>
      <c r="AA492" s="4">
        <f>('TE BE'!$AB$40+'TE BF'!$AB$40+'TE CVA'!$AB$40)*1</f>
        <v>101.98145319744556</v>
      </c>
      <c r="AB492" s="4">
        <f>$K$492*$V$492</f>
        <v>0</v>
      </c>
      <c r="AC492" s="4">
        <f>$M$492*$W$492</f>
        <v>13368.57696</v>
      </c>
      <c r="AD492" s="4">
        <f>$O$492*$X$492</f>
        <v>9739.2456000000002</v>
      </c>
      <c r="AE492" s="4">
        <f>$K$492*$Y$492</f>
        <v>0</v>
      </c>
      <c r="AF492" s="4">
        <f ca="1">$M$492*$Z$492</f>
        <v>15908.086424924022</v>
      </c>
      <c r="AG492" s="4">
        <f>$O$492*$AA$492</f>
        <v>6740.5661305383619</v>
      </c>
    </row>
    <row r="493" spans="1:33" ht="11.25" customHeight="1" x14ac:dyDescent="0.25">
      <c r="A493" s="3" t="s">
        <v>21</v>
      </c>
      <c r="B493" s="3" t="s">
        <v>43</v>
      </c>
      <c r="C493" s="3" t="s">
        <v>23</v>
      </c>
      <c r="D493" s="3" t="s">
        <v>44</v>
      </c>
      <c r="E493" s="3" t="s">
        <v>45</v>
      </c>
      <c r="F493" s="3" t="s">
        <v>25</v>
      </c>
      <c r="G493" s="3" t="s">
        <v>25</v>
      </c>
      <c r="H493" s="3" t="s">
        <v>25</v>
      </c>
      <c r="I493" s="6">
        <v>44682</v>
      </c>
      <c r="J493" s="4">
        <v>0</v>
      </c>
      <c r="K493" s="4">
        <v>0</v>
      </c>
      <c r="L493" s="4">
        <v>67.013999999999996</v>
      </c>
      <c r="M493" s="4">
        <v>67.013999999999996</v>
      </c>
      <c r="N493" s="4">
        <v>67.013999999999996</v>
      </c>
      <c r="O493" s="4">
        <v>67.013999999999996</v>
      </c>
      <c r="P493" s="4">
        <v>5</v>
      </c>
      <c r="Q493" s="3" t="s">
        <v>26</v>
      </c>
      <c r="R493" s="3">
        <v>0</v>
      </c>
      <c r="S493" s="4">
        <v>0</v>
      </c>
      <c r="T493" s="4">
        <v>58</v>
      </c>
      <c r="U493" s="4">
        <v>83</v>
      </c>
      <c r="V493" s="4">
        <f>IF(ISERROR(VLOOKUP($S$493,'TAR FIN'!$A$1:$O$85,15,0)),0,VLOOKUP($S$493,'TAR FIN'!$A$1:$O$85,15,0))</f>
        <v>0</v>
      </c>
      <c r="W493" s="4">
        <f>IF(ISERROR(VLOOKUP($T$493,'TAR FIN'!$A$1:$O$85,15,0)),0,VLOOKUP($T$493,'TAR FIN'!$A$1:$O$85,15,0))</f>
        <v>202.26</v>
      </c>
      <c r="X493" s="4">
        <f>IF(ISERROR(VLOOKUP($U$493,'TAR FIN'!$A$1:$O$85,15,0)),0,VLOOKUP($U$493,'TAR FIN'!$A$1:$O$85,15,0))</f>
        <v>147.35</v>
      </c>
      <c r="Y493" s="4"/>
      <c r="Z493" s="4">
        <f ca="1">('TUSD BE'!$AM$50+'TUSD BF'!$AM$50+'TUSD CVA'!$AM$50)*1</f>
        <v>240.68153027299718</v>
      </c>
      <c r="AA493" s="4">
        <f>('TE BE'!$AB$40+'TE BF'!$AB$40+'TE CVA'!$AB$40)*1</f>
        <v>101.98145319744556</v>
      </c>
      <c r="AB493" s="4">
        <f>$K$493*$V$493</f>
        <v>0</v>
      </c>
      <c r="AC493" s="4">
        <f>$M$493*$W$493</f>
        <v>13554.251639999999</v>
      </c>
      <c r="AD493" s="4">
        <f>$O$493*$X$493</f>
        <v>9874.5128999999997</v>
      </c>
      <c r="AE493" s="4">
        <f>$K$493*$Y$493</f>
        <v>0</v>
      </c>
      <c r="AF493" s="4">
        <f ca="1">$M$493*$Z$493</f>
        <v>16129.032069714633</v>
      </c>
      <c r="AG493" s="4">
        <f>$O$493*$AA$493</f>
        <v>6834.1851045736166</v>
      </c>
    </row>
    <row r="494" spans="1:33" ht="11.25" customHeight="1" x14ac:dyDescent="0.25">
      <c r="A494" s="3" t="s">
        <v>21</v>
      </c>
      <c r="B494" s="3" t="s">
        <v>43</v>
      </c>
      <c r="C494" s="3" t="s">
        <v>23</v>
      </c>
      <c r="D494" s="3" t="s">
        <v>44</v>
      </c>
      <c r="E494" s="3" t="s">
        <v>45</v>
      </c>
      <c r="F494" s="3" t="s">
        <v>25</v>
      </c>
      <c r="G494" s="3" t="s">
        <v>25</v>
      </c>
      <c r="H494" s="3" t="s">
        <v>25</v>
      </c>
      <c r="I494" s="6">
        <v>44713</v>
      </c>
      <c r="J494" s="4">
        <v>0</v>
      </c>
      <c r="K494" s="4">
        <v>0</v>
      </c>
      <c r="L494" s="4">
        <v>64.759</v>
      </c>
      <c r="M494" s="4">
        <v>64.759</v>
      </c>
      <c r="N494" s="4">
        <v>64.759</v>
      </c>
      <c r="O494" s="4">
        <v>64.759</v>
      </c>
      <c r="P494" s="4">
        <v>5</v>
      </c>
      <c r="Q494" s="3" t="s">
        <v>26</v>
      </c>
      <c r="R494" s="3">
        <v>0</v>
      </c>
      <c r="S494" s="4">
        <v>0</v>
      </c>
      <c r="T494" s="4">
        <v>58</v>
      </c>
      <c r="U494" s="4">
        <v>83</v>
      </c>
      <c r="V494" s="4">
        <f>IF(ISERROR(VLOOKUP($S$494,'TAR FIN'!$A$1:$O$85,15,0)),0,VLOOKUP($S$494,'TAR FIN'!$A$1:$O$85,15,0))</f>
        <v>0</v>
      </c>
      <c r="W494" s="4">
        <f>IF(ISERROR(VLOOKUP($T$494,'TAR FIN'!$A$1:$O$85,15,0)),0,VLOOKUP($T$494,'TAR FIN'!$A$1:$O$85,15,0))</f>
        <v>202.26</v>
      </c>
      <c r="X494" s="4">
        <f>IF(ISERROR(VLOOKUP($U$494,'TAR FIN'!$A$1:$O$85,15,0)),0,VLOOKUP($U$494,'TAR FIN'!$A$1:$O$85,15,0))</f>
        <v>147.35</v>
      </c>
      <c r="Y494" s="4"/>
      <c r="Z494" s="4">
        <f ca="1">('TUSD BE'!$AM$50+'TUSD BF'!$AM$50+'TUSD CVA'!$AM$50)*1</f>
        <v>240.68153027299718</v>
      </c>
      <c r="AA494" s="4">
        <f>('TE BE'!$AB$40+'TE BF'!$AB$40+'TE CVA'!$AB$40)*1</f>
        <v>101.98145319744556</v>
      </c>
      <c r="AB494" s="4">
        <f>$K$494*$V$494</f>
        <v>0</v>
      </c>
      <c r="AC494" s="4">
        <f>$M$494*$W$494</f>
        <v>13098.155339999999</v>
      </c>
      <c r="AD494" s="4">
        <f>$O$494*$X$494</f>
        <v>9542.2386499999993</v>
      </c>
      <c r="AE494" s="4">
        <f>$K$494*$Y$494</f>
        <v>0</v>
      </c>
      <c r="AF494" s="4">
        <f ca="1">$M$494*$Z$494</f>
        <v>15586.295218949024</v>
      </c>
      <c r="AG494" s="4">
        <f>$O$494*$AA$494</f>
        <v>6604.2169276133773</v>
      </c>
    </row>
    <row r="495" spans="1:33" ht="11.25" customHeight="1" x14ac:dyDescent="0.25">
      <c r="A495" s="3" t="s">
        <v>21</v>
      </c>
      <c r="B495" s="3" t="s">
        <v>43</v>
      </c>
      <c r="C495" s="3" t="s">
        <v>23</v>
      </c>
      <c r="D495" s="3" t="s">
        <v>44</v>
      </c>
      <c r="E495" s="3" t="s">
        <v>45</v>
      </c>
      <c r="F495" s="3" t="s">
        <v>25</v>
      </c>
      <c r="G495" s="3" t="s">
        <v>25</v>
      </c>
      <c r="H495" s="3" t="s">
        <v>25</v>
      </c>
      <c r="I495" s="6">
        <v>44743</v>
      </c>
      <c r="J495" s="4">
        <v>0</v>
      </c>
      <c r="K495" s="4">
        <v>0</v>
      </c>
      <c r="L495" s="4">
        <v>66.870999999999995</v>
      </c>
      <c r="M495" s="4">
        <v>66.870999999999995</v>
      </c>
      <c r="N495" s="4">
        <v>66.870999999999995</v>
      </c>
      <c r="O495" s="4">
        <v>66.870999999999995</v>
      </c>
      <c r="P495" s="4">
        <v>5</v>
      </c>
      <c r="Q495" s="3" t="s">
        <v>26</v>
      </c>
      <c r="R495" s="3">
        <v>0</v>
      </c>
      <c r="S495" s="4">
        <v>0</v>
      </c>
      <c r="T495" s="4">
        <v>58</v>
      </c>
      <c r="U495" s="4">
        <v>83</v>
      </c>
      <c r="V495" s="4">
        <f>IF(ISERROR(VLOOKUP($S$495,'TAR FIN'!$A$1:$O$85,15,0)),0,VLOOKUP($S$495,'TAR FIN'!$A$1:$O$85,15,0))</f>
        <v>0</v>
      </c>
      <c r="W495" s="4">
        <f>IF(ISERROR(VLOOKUP($T$495,'TAR FIN'!$A$1:$O$85,15,0)),0,VLOOKUP($T$495,'TAR FIN'!$A$1:$O$85,15,0))</f>
        <v>202.26</v>
      </c>
      <c r="X495" s="4">
        <f>IF(ISERROR(VLOOKUP($U$495,'TAR FIN'!$A$1:$O$85,15,0)),0,VLOOKUP($U$495,'TAR FIN'!$A$1:$O$85,15,0))</f>
        <v>147.35</v>
      </c>
      <c r="Y495" s="4"/>
      <c r="Z495" s="4">
        <f ca="1">('TUSD BE'!$AM$50+'TUSD BF'!$AM$50+'TUSD CVA'!$AM$50)*1</f>
        <v>240.68153027299718</v>
      </c>
      <c r="AA495" s="4">
        <f>('TE BE'!$AB$40+'TE BF'!$AB$40+'TE CVA'!$AB$40)*1</f>
        <v>101.98145319744556</v>
      </c>
      <c r="AB495" s="4">
        <f>$K$495*$V$495</f>
        <v>0</v>
      </c>
      <c r="AC495" s="4">
        <f>$M$495*$W$495</f>
        <v>13525.328459999999</v>
      </c>
      <c r="AD495" s="4">
        <f>$O$495*$X$495</f>
        <v>9853.4418499999992</v>
      </c>
      <c r="AE495" s="4">
        <f>$K$495*$Y$495</f>
        <v>0</v>
      </c>
      <c r="AF495" s="4">
        <f ca="1">$M$495*$Z$495</f>
        <v>16094.614610885594</v>
      </c>
      <c r="AG495" s="4">
        <f>$O$495*$AA$495</f>
        <v>6819.6017567663812</v>
      </c>
    </row>
    <row r="496" spans="1:33" ht="11.25" customHeight="1" x14ac:dyDescent="0.25">
      <c r="A496" s="3" t="s">
        <v>21</v>
      </c>
      <c r="B496" s="3" t="s">
        <v>43</v>
      </c>
      <c r="C496" s="3" t="s">
        <v>23</v>
      </c>
      <c r="D496" s="3" t="s">
        <v>44</v>
      </c>
      <c r="E496" s="3" t="s">
        <v>45</v>
      </c>
      <c r="F496" s="3" t="s">
        <v>25</v>
      </c>
      <c r="G496" s="3" t="s">
        <v>25</v>
      </c>
      <c r="H496" s="3" t="s">
        <v>25</v>
      </c>
      <c r="I496" s="6">
        <v>44774</v>
      </c>
      <c r="J496" s="4">
        <v>0</v>
      </c>
      <c r="K496" s="4">
        <v>0</v>
      </c>
      <c r="L496" s="4">
        <v>66.802999999999997</v>
      </c>
      <c r="M496" s="4">
        <v>66.802999999999997</v>
      </c>
      <c r="N496" s="4">
        <v>66.802999999999997</v>
      </c>
      <c r="O496" s="4">
        <v>66.802999999999997</v>
      </c>
      <c r="P496" s="4">
        <v>5</v>
      </c>
      <c r="Q496" s="3" t="s">
        <v>26</v>
      </c>
      <c r="R496" s="3">
        <v>0</v>
      </c>
      <c r="S496" s="4">
        <v>0</v>
      </c>
      <c r="T496" s="4">
        <v>58</v>
      </c>
      <c r="U496" s="4">
        <v>83</v>
      </c>
      <c r="V496" s="4">
        <f>IF(ISERROR(VLOOKUP($S$496,'TAR FIN'!$A$1:$O$85,15,0)),0,VLOOKUP($S$496,'TAR FIN'!$A$1:$O$85,15,0))</f>
        <v>0</v>
      </c>
      <c r="W496" s="4">
        <f>IF(ISERROR(VLOOKUP($T$496,'TAR FIN'!$A$1:$O$85,15,0)),0,VLOOKUP($T$496,'TAR FIN'!$A$1:$O$85,15,0))</f>
        <v>202.26</v>
      </c>
      <c r="X496" s="4">
        <f>IF(ISERROR(VLOOKUP($U$496,'TAR FIN'!$A$1:$O$85,15,0)),0,VLOOKUP($U$496,'TAR FIN'!$A$1:$O$85,15,0))</f>
        <v>147.35</v>
      </c>
      <c r="Y496" s="4"/>
      <c r="Z496" s="4">
        <f ca="1">('TUSD BE'!$AM$50+'TUSD BF'!$AM$50+'TUSD CVA'!$AM$50)*1</f>
        <v>240.68153027299718</v>
      </c>
      <c r="AA496" s="4">
        <f>('TE BE'!$AB$40+'TE BF'!$AB$40+'TE CVA'!$AB$40)*1</f>
        <v>101.98145319744556</v>
      </c>
      <c r="AB496" s="4">
        <f>$K$496*$V$496</f>
        <v>0</v>
      </c>
      <c r="AC496" s="4">
        <f>$M$496*$W$496</f>
        <v>13511.574779999999</v>
      </c>
      <c r="AD496" s="4">
        <f>$O$496*$X$496</f>
        <v>9843.4220499999992</v>
      </c>
      <c r="AE496" s="4">
        <f>$K$496*$Y$496</f>
        <v>0</v>
      </c>
      <c r="AF496" s="4">
        <f ca="1">$M$496*$Z$496</f>
        <v>16078.24826682703</v>
      </c>
      <c r="AG496" s="4">
        <f>$O$496*$AA$496</f>
        <v>6812.6670179489556</v>
      </c>
    </row>
    <row r="497" spans="1:33" ht="11.25" customHeight="1" x14ac:dyDescent="0.25">
      <c r="A497" s="3" t="s">
        <v>21</v>
      </c>
      <c r="B497" s="3" t="s">
        <v>43</v>
      </c>
      <c r="C497" s="3" t="s">
        <v>23</v>
      </c>
      <c r="D497" s="3" t="s">
        <v>44</v>
      </c>
      <c r="E497" s="3" t="s">
        <v>46</v>
      </c>
      <c r="F497" s="3" t="s">
        <v>25</v>
      </c>
      <c r="G497" s="3" t="s">
        <v>25</v>
      </c>
      <c r="H497" s="3" t="s">
        <v>25</v>
      </c>
      <c r="I497" s="6">
        <v>44440</v>
      </c>
      <c r="J497" s="4">
        <v>0</v>
      </c>
      <c r="K497" s="4">
        <v>0</v>
      </c>
      <c r="L497" s="4">
        <v>2.0880000000000001</v>
      </c>
      <c r="M497" s="4">
        <v>2.0880000000000001</v>
      </c>
      <c r="N497" s="4">
        <v>2.0880000000000001</v>
      </c>
      <c r="O497" s="4">
        <v>2.0880000000000001</v>
      </c>
      <c r="P497" s="4">
        <v>2</v>
      </c>
      <c r="Q497" s="3" t="s">
        <v>26</v>
      </c>
      <c r="R497" s="3">
        <v>0</v>
      </c>
      <c r="S497" s="4">
        <v>0</v>
      </c>
      <c r="T497" s="4">
        <v>64</v>
      </c>
      <c r="U497" s="4">
        <v>84</v>
      </c>
      <c r="V497" s="4">
        <f>IF(ISERROR(VLOOKUP($S$497,'TAR FIN'!$A$1:$O$85,15,0)),0,VLOOKUP($S$497,'TAR FIN'!$A$1:$O$85,15,0))</f>
        <v>0</v>
      </c>
      <c r="W497" s="4">
        <f>IF(ISERROR(VLOOKUP($T$497,'TAR FIN'!$A$1:$O$85,15,0)),0,VLOOKUP($T$497,'TAR FIN'!$A$1:$O$85,15,0))</f>
        <v>220.65</v>
      </c>
      <c r="X497" s="4">
        <f>IF(ISERROR(VLOOKUP($U$497,'TAR FIN'!$A$1:$O$85,15,0)),0,VLOOKUP($U$497,'TAR FIN'!$A$1:$O$85,15,0))</f>
        <v>160.75</v>
      </c>
      <c r="Y497" s="4"/>
      <c r="Z497" s="4">
        <f ca="1">('TUSD BE'!$AM$51+'TUSD BF'!$AM$51+'TUSD CVA'!$AM$51)*1</f>
        <v>262.56166938872423</v>
      </c>
      <c r="AA497" s="4">
        <f>('TE BE'!$AB$41+'TE BF'!$AB$41+'TE CVA'!$AB$41)*1</f>
        <v>111.25249439721333</v>
      </c>
      <c r="AB497" s="4">
        <f>$K$497*$V$497</f>
        <v>0</v>
      </c>
      <c r="AC497" s="4">
        <f>$M$497*$W$497</f>
        <v>460.71720000000005</v>
      </c>
      <c r="AD497" s="4">
        <f>$O$497*$X$497</f>
        <v>335.64600000000002</v>
      </c>
      <c r="AE497" s="4">
        <f>$K$497*$Y$497</f>
        <v>0</v>
      </c>
      <c r="AF497" s="4">
        <f ca="1">$M$497*$Z$497</f>
        <v>548.22876568365621</v>
      </c>
      <c r="AG497" s="4">
        <f>$O$497*$AA$497</f>
        <v>232.29520830138142</v>
      </c>
    </row>
    <row r="498" spans="1:33" ht="11.25" customHeight="1" x14ac:dyDescent="0.25">
      <c r="A498" s="3" t="s">
        <v>21</v>
      </c>
      <c r="B498" s="3" t="s">
        <v>43</v>
      </c>
      <c r="C498" s="3" t="s">
        <v>23</v>
      </c>
      <c r="D498" s="3" t="s">
        <v>44</v>
      </c>
      <c r="E498" s="3" t="s">
        <v>46</v>
      </c>
      <c r="F498" s="3" t="s">
        <v>25</v>
      </c>
      <c r="G498" s="3" t="s">
        <v>25</v>
      </c>
      <c r="H498" s="3" t="s">
        <v>25</v>
      </c>
      <c r="I498" s="6">
        <v>44470</v>
      </c>
      <c r="J498" s="4">
        <v>0</v>
      </c>
      <c r="K498" s="4">
        <v>0</v>
      </c>
      <c r="L498" s="4">
        <v>2.157</v>
      </c>
      <c r="M498" s="4">
        <v>2.157</v>
      </c>
      <c r="N498" s="4">
        <v>2.157</v>
      </c>
      <c r="O498" s="4">
        <v>2.157</v>
      </c>
      <c r="P498" s="4">
        <v>2</v>
      </c>
      <c r="Q498" s="3" t="s">
        <v>26</v>
      </c>
      <c r="R498" s="3">
        <v>0</v>
      </c>
      <c r="S498" s="4">
        <v>0</v>
      </c>
      <c r="T498" s="4">
        <v>64</v>
      </c>
      <c r="U498" s="4">
        <v>84</v>
      </c>
      <c r="V498" s="4">
        <f>IF(ISERROR(VLOOKUP($S$498,'TAR FIN'!$A$1:$O$85,15,0)),0,VLOOKUP($S$498,'TAR FIN'!$A$1:$O$85,15,0))</f>
        <v>0</v>
      </c>
      <c r="W498" s="4">
        <f>IF(ISERROR(VLOOKUP($T$498,'TAR FIN'!$A$1:$O$85,15,0)),0,VLOOKUP($T$498,'TAR FIN'!$A$1:$O$85,15,0))</f>
        <v>220.65</v>
      </c>
      <c r="X498" s="4">
        <f>IF(ISERROR(VLOOKUP($U$498,'TAR FIN'!$A$1:$O$85,15,0)),0,VLOOKUP($U$498,'TAR FIN'!$A$1:$O$85,15,0))</f>
        <v>160.75</v>
      </c>
      <c r="Y498" s="4"/>
      <c r="Z498" s="4">
        <f ca="1">('TUSD BE'!$AM$51+'TUSD BF'!$AM$51+'TUSD CVA'!$AM$51)*1</f>
        <v>262.56166938872423</v>
      </c>
      <c r="AA498" s="4">
        <f>('TE BE'!$AB$41+'TE BF'!$AB$41+'TE CVA'!$AB$41)*1</f>
        <v>111.25249439721333</v>
      </c>
      <c r="AB498" s="4">
        <f>$K$498*$V$498</f>
        <v>0</v>
      </c>
      <c r="AC498" s="4">
        <f>$M$498*$W$498</f>
        <v>475.94204999999999</v>
      </c>
      <c r="AD498" s="4">
        <f>$O$498*$X$498</f>
        <v>346.73775000000001</v>
      </c>
      <c r="AE498" s="4">
        <f>$K$498*$Y$498</f>
        <v>0</v>
      </c>
      <c r="AF498" s="4">
        <f ca="1">$M$498*$Z$498</f>
        <v>566.34552087147813</v>
      </c>
      <c r="AG498" s="4">
        <f>$O$498*$AA$498</f>
        <v>239.97163041478916</v>
      </c>
    </row>
    <row r="499" spans="1:33" ht="11.25" customHeight="1" x14ac:dyDescent="0.25">
      <c r="A499" s="3" t="s">
        <v>21</v>
      </c>
      <c r="B499" s="3" t="s">
        <v>43</v>
      </c>
      <c r="C499" s="3" t="s">
        <v>23</v>
      </c>
      <c r="D499" s="3" t="s">
        <v>44</v>
      </c>
      <c r="E499" s="3" t="s">
        <v>46</v>
      </c>
      <c r="F499" s="3" t="s">
        <v>25</v>
      </c>
      <c r="G499" s="3" t="s">
        <v>25</v>
      </c>
      <c r="H499" s="3" t="s">
        <v>25</v>
      </c>
      <c r="I499" s="6">
        <v>44501</v>
      </c>
      <c r="J499" s="4">
        <v>0</v>
      </c>
      <c r="K499" s="4">
        <v>0</v>
      </c>
      <c r="L499" s="4">
        <v>2.0880000000000001</v>
      </c>
      <c r="M499" s="4">
        <v>2.0880000000000001</v>
      </c>
      <c r="N499" s="4">
        <v>2.0880000000000001</v>
      </c>
      <c r="O499" s="4">
        <v>2.0880000000000001</v>
      </c>
      <c r="P499" s="4">
        <v>2</v>
      </c>
      <c r="Q499" s="3" t="s">
        <v>26</v>
      </c>
      <c r="R499" s="3">
        <v>0</v>
      </c>
      <c r="S499" s="4">
        <v>0</v>
      </c>
      <c r="T499" s="4">
        <v>64</v>
      </c>
      <c r="U499" s="4">
        <v>84</v>
      </c>
      <c r="V499" s="4">
        <f>IF(ISERROR(VLOOKUP($S$499,'TAR FIN'!$A$1:$O$85,15,0)),0,VLOOKUP($S$499,'TAR FIN'!$A$1:$O$85,15,0))</f>
        <v>0</v>
      </c>
      <c r="W499" s="4">
        <f>IF(ISERROR(VLOOKUP($T$499,'TAR FIN'!$A$1:$O$85,15,0)),0,VLOOKUP($T$499,'TAR FIN'!$A$1:$O$85,15,0))</f>
        <v>220.65</v>
      </c>
      <c r="X499" s="4">
        <f>IF(ISERROR(VLOOKUP($U$499,'TAR FIN'!$A$1:$O$85,15,0)),0,VLOOKUP($U$499,'TAR FIN'!$A$1:$O$85,15,0))</f>
        <v>160.75</v>
      </c>
      <c r="Y499" s="4"/>
      <c r="Z499" s="4">
        <f ca="1">('TUSD BE'!$AM$51+'TUSD BF'!$AM$51+'TUSD CVA'!$AM$51)*1</f>
        <v>262.56166938872423</v>
      </c>
      <c r="AA499" s="4">
        <f>('TE BE'!$AB$41+'TE BF'!$AB$41+'TE CVA'!$AB$41)*1</f>
        <v>111.25249439721333</v>
      </c>
      <c r="AB499" s="4">
        <f>$K$499*$V$499</f>
        <v>0</v>
      </c>
      <c r="AC499" s="4">
        <f>$M$499*$W$499</f>
        <v>460.71720000000005</v>
      </c>
      <c r="AD499" s="4">
        <f>$O$499*$X$499</f>
        <v>335.64600000000002</v>
      </c>
      <c r="AE499" s="4">
        <f>$K$499*$Y$499</f>
        <v>0</v>
      </c>
      <c r="AF499" s="4">
        <f ca="1">$M$499*$Z$499</f>
        <v>548.22876568365621</v>
      </c>
      <c r="AG499" s="4">
        <f>$O$499*$AA$499</f>
        <v>232.29520830138142</v>
      </c>
    </row>
    <row r="500" spans="1:33" ht="11.25" customHeight="1" x14ac:dyDescent="0.25">
      <c r="A500" s="3" t="s">
        <v>21</v>
      </c>
      <c r="B500" s="3" t="s">
        <v>43</v>
      </c>
      <c r="C500" s="3" t="s">
        <v>23</v>
      </c>
      <c r="D500" s="3" t="s">
        <v>44</v>
      </c>
      <c r="E500" s="3" t="s">
        <v>46</v>
      </c>
      <c r="F500" s="3" t="s">
        <v>25</v>
      </c>
      <c r="G500" s="3" t="s">
        <v>25</v>
      </c>
      <c r="H500" s="3" t="s">
        <v>25</v>
      </c>
      <c r="I500" s="6">
        <v>44531</v>
      </c>
      <c r="J500" s="4">
        <v>0</v>
      </c>
      <c r="K500" s="4">
        <v>0</v>
      </c>
      <c r="L500" s="4">
        <v>2.157</v>
      </c>
      <c r="M500" s="4">
        <v>2.157</v>
      </c>
      <c r="N500" s="4">
        <v>2.157</v>
      </c>
      <c r="O500" s="4">
        <v>2.157</v>
      </c>
      <c r="P500" s="4">
        <v>2</v>
      </c>
      <c r="Q500" s="3" t="s">
        <v>26</v>
      </c>
      <c r="R500" s="3">
        <v>0</v>
      </c>
      <c r="S500" s="4">
        <v>0</v>
      </c>
      <c r="T500" s="4">
        <v>64</v>
      </c>
      <c r="U500" s="4">
        <v>84</v>
      </c>
      <c r="V500" s="4">
        <f>IF(ISERROR(VLOOKUP($S$500,'TAR FIN'!$A$1:$O$85,15,0)),0,VLOOKUP($S$500,'TAR FIN'!$A$1:$O$85,15,0))</f>
        <v>0</v>
      </c>
      <c r="W500" s="4">
        <f>IF(ISERROR(VLOOKUP($T$500,'TAR FIN'!$A$1:$O$85,15,0)),0,VLOOKUP($T$500,'TAR FIN'!$A$1:$O$85,15,0))</f>
        <v>220.65</v>
      </c>
      <c r="X500" s="4">
        <f>IF(ISERROR(VLOOKUP($U$500,'TAR FIN'!$A$1:$O$85,15,0)),0,VLOOKUP($U$500,'TAR FIN'!$A$1:$O$85,15,0))</f>
        <v>160.75</v>
      </c>
      <c r="Y500" s="4"/>
      <c r="Z500" s="4">
        <f ca="1">('TUSD BE'!$AM$51+'TUSD BF'!$AM$51+'TUSD CVA'!$AM$51)*1</f>
        <v>262.56166938872423</v>
      </c>
      <c r="AA500" s="4">
        <f>('TE BE'!$AB$41+'TE BF'!$AB$41+'TE CVA'!$AB$41)*1</f>
        <v>111.25249439721333</v>
      </c>
      <c r="AB500" s="4">
        <f>$K$500*$V$500</f>
        <v>0</v>
      </c>
      <c r="AC500" s="4">
        <f>$M$500*$W$500</f>
        <v>475.94204999999999</v>
      </c>
      <c r="AD500" s="4">
        <f>$O$500*$X$500</f>
        <v>346.73775000000001</v>
      </c>
      <c r="AE500" s="4">
        <f>$K$500*$Y$500</f>
        <v>0</v>
      </c>
      <c r="AF500" s="4">
        <f ca="1">$M$500*$Z$500</f>
        <v>566.34552087147813</v>
      </c>
      <c r="AG500" s="4">
        <f>$O$500*$AA$500</f>
        <v>239.97163041478916</v>
      </c>
    </row>
    <row r="501" spans="1:33" ht="11.25" customHeight="1" x14ac:dyDescent="0.25">
      <c r="A501" s="3" t="s">
        <v>21</v>
      </c>
      <c r="B501" s="3" t="s">
        <v>43</v>
      </c>
      <c r="C501" s="3" t="s">
        <v>23</v>
      </c>
      <c r="D501" s="3" t="s">
        <v>44</v>
      </c>
      <c r="E501" s="3" t="s">
        <v>46</v>
      </c>
      <c r="F501" s="3" t="s">
        <v>25</v>
      </c>
      <c r="G501" s="3" t="s">
        <v>25</v>
      </c>
      <c r="H501" s="3" t="s">
        <v>25</v>
      </c>
      <c r="I501" s="6">
        <v>44562</v>
      </c>
      <c r="J501" s="4">
        <v>0</v>
      </c>
      <c r="K501" s="4">
        <v>0</v>
      </c>
      <c r="L501" s="4">
        <v>2.157</v>
      </c>
      <c r="M501" s="4">
        <v>2.157</v>
      </c>
      <c r="N501" s="4">
        <v>2.157</v>
      </c>
      <c r="O501" s="4">
        <v>2.157</v>
      </c>
      <c r="P501" s="4">
        <v>2</v>
      </c>
      <c r="Q501" s="3" t="s">
        <v>26</v>
      </c>
      <c r="R501" s="3">
        <v>0</v>
      </c>
      <c r="S501" s="4">
        <v>0</v>
      </c>
      <c r="T501" s="4">
        <v>64</v>
      </c>
      <c r="U501" s="4">
        <v>84</v>
      </c>
      <c r="V501" s="4">
        <f>IF(ISERROR(VLOOKUP($S$501,'TAR FIN'!$A$1:$O$85,15,0)),0,VLOOKUP($S$501,'TAR FIN'!$A$1:$O$85,15,0))</f>
        <v>0</v>
      </c>
      <c r="W501" s="4">
        <f>IF(ISERROR(VLOOKUP($T$501,'TAR FIN'!$A$1:$O$85,15,0)),0,VLOOKUP($T$501,'TAR FIN'!$A$1:$O$85,15,0))</f>
        <v>220.65</v>
      </c>
      <c r="X501" s="4">
        <f>IF(ISERROR(VLOOKUP($U$501,'TAR FIN'!$A$1:$O$85,15,0)),0,VLOOKUP($U$501,'TAR FIN'!$A$1:$O$85,15,0))</f>
        <v>160.75</v>
      </c>
      <c r="Y501" s="4"/>
      <c r="Z501" s="4">
        <f ca="1">('TUSD BE'!$AM$51+'TUSD BF'!$AM$51+'TUSD CVA'!$AM$51)*1</f>
        <v>262.56166938872423</v>
      </c>
      <c r="AA501" s="4">
        <f>('TE BE'!$AB$41+'TE BF'!$AB$41+'TE CVA'!$AB$41)*1</f>
        <v>111.25249439721333</v>
      </c>
      <c r="AB501" s="4">
        <f>$K$501*$V$501</f>
        <v>0</v>
      </c>
      <c r="AC501" s="4">
        <f>$M$501*$W$501</f>
        <v>475.94204999999999</v>
      </c>
      <c r="AD501" s="4">
        <f>$O$501*$X$501</f>
        <v>346.73775000000001</v>
      </c>
      <c r="AE501" s="4">
        <f>$K$501*$Y$501</f>
        <v>0</v>
      </c>
      <c r="AF501" s="4">
        <f ca="1">$M$501*$Z$501</f>
        <v>566.34552087147813</v>
      </c>
      <c r="AG501" s="4">
        <f>$O$501*$AA$501</f>
        <v>239.97163041478916</v>
      </c>
    </row>
    <row r="502" spans="1:33" ht="11.25" customHeight="1" x14ac:dyDescent="0.25">
      <c r="A502" s="3" t="s">
        <v>21</v>
      </c>
      <c r="B502" s="3" t="s">
        <v>43</v>
      </c>
      <c r="C502" s="3" t="s">
        <v>23</v>
      </c>
      <c r="D502" s="3" t="s">
        <v>44</v>
      </c>
      <c r="E502" s="3" t="s">
        <v>46</v>
      </c>
      <c r="F502" s="3" t="s">
        <v>25</v>
      </c>
      <c r="G502" s="3" t="s">
        <v>25</v>
      </c>
      <c r="H502" s="3" t="s">
        <v>25</v>
      </c>
      <c r="I502" s="6">
        <v>44593</v>
      </c>
      <c r="J502" s="4">
        <v>0</v>
      </c>
      <c r="K502" s="4">
        <v>0</v>
      </c>
      <c r="L502" s="4">
        <v>1.948</v>
      </c>
      <c r="M502" s="4">
        <v>1.948</v>
      </c>
      <c r="N502" s="4">
        <v>1.948</v>
      </c>
      <c r="O502" s="4">
        <v>1.948</v>
      </c>
      <c r="P502" s="4">
        <v>2</v>
      </c>
      <c r="Q502" s="3" t="s">
        <v>26</v>
      </c>
      <c r="R502" s="3">
        <v>0</v>
      </c>
      <c r="S502" s="4">
        <v>0</v>
      </c>
      <c r="T502" s="4">
        <v>64</v>
      </c>
      <c r="U502" s="4">
        <v>84</v>
      </c>
      <c r="V502" s="4">
        <f>IF(ISERROR(VLOOKUP($S$502,'TAR FIN'!$A$1:$O$85,15,0)),0,VLOOKUP($S$502,'TAR FIN'!$A$1:$O$85,15,0))</f>
        <v>0</v>
      </c>
      <c r="W502" s="4">
        <f>IF(ISERROR(VLOOKUP($T$502,'TAR FIN'!$A$1:$O$85,15,0)),0,VLOOKUP($T$502,'TAR FIN'!$A$1:$O$85,15,0))</f>
        <v>220.65</v>
      </c>
      <c r="X502" s="4">
        <f>IF(ISERROR(VLOOKUP($U$502,'TAR FIN'!$A$1:$O$85,15,0)),0,VLOOKUP($U$502,'TAR FIN'!$A$1:$O$85,15,0))</f>
        <v>160.75</v>
      </c>
      <c r="Y502" s="4"/>
      <c r="Z502" s="4">
        <f ca="1">('TUSD BE'!$AM$51+'TUSD BF'!$AM$51+'TUSD CVA'!$AM$51)*1</f>
        <v>262.56166938872423</v>
      </c>
      <c r="AA502" s="4">
        <f>('TE BE'!$AB$41+'TE BF'!$AB$41+'TE CVA'!$AB$41)*1</f>
        <v>111.25249439721333</v>
      </c>
      <c r="AB502" s="4">
        <f>$K$502*$V$502</f>
        <v>0</v>
      </c>
      <c r="AC502" s="4">
        <f>$M$502*$W$502</f>
        <v>429.82620000000003</v>
      </c>
      <c r="AD502" s="4">
        <f>$O$502*$X$502</f>
        <v>313.14100000000002</v>
      </c>
      <c r="AE502" s="4">
        <f>$K$502*$Y$502</f>
        <v>0</v>
      </c>
      <c r="AF502" s="4">
        <f ca="1">$M$502*$Z$502</f>
        <v>511.47013196923479</v>
      </c>
      <c r="AG502" s="4">
        <f>$O$502*$AA$502</f>
        <v>216.71985908577156</v>
      </c>
    </row>
    <row r="503" spans="1:33" ht="11.25" customHeight="1" x14ac:dyDescent="0.25">
      <c r="A503" s="3" t="s">
        <v>21</v>
      </c>
      <c r="B503" s="3" t="s">
        <v>43</v>
      </c>
      <c r="C503" s="3" t="s">
        <v>23</v>
      </c>
      <c r="D503" s="3" t="s">
        <v>44</v>
      </c>
      <c r="E503" s="3" t="s">
        <v>46</v>
      </c>
      <c r="F503" s="3" t="s">
        <v>25</v>
      </c>
      <c r="G503" s="3" t="s">
        <v>25</v>
      </c>
      <c r="H503" s="3" t="s">
        <v>25</v>
      </c>
      <c r="I503" s="6">
        <v>44621</v>
      </c>
      <c r="J503" s="4">
        <v>0</v>
      </c>
      <c r="K503" s="4">
        <v>0</v>
      </c>
      <c r="L503" s="4">
        <v>2.157</v>
      </c>
      <c r="M503" s="4">
        <v>2.157</v>
      </c>
      <c r="N503" s="4">
        <v>2.157</v>
      </c>
      <c r="O503" s="4">
        <v>2.157</v>
      </c>
      <c r="P503" s="4">
        <v>2</v>
      </c>
      <c r="Q503" s="3" t="s">
        <v>26</v>
      </c>
      <c r="R503" s="3">
        <v>0</v>
      </c>
      <c r="S503" s="4">
        <v>0</v>
      </c>
      <c r="T503" s="4">
        <v>64</v>
      </c>
      <c r="U503" s="4">
        <v>84</v>
      </c>
      <c r="V503" s="4">
        <f>IF(ISERROR(VLOOKUP($S$503,'TAR FIN'!$A$1:$O$85,15,0)),0,VLOOKUP($S$503,'TAR FIN'!$A$1:$O$85,15,0))</f>
        <v>0</v>
      </c>
      <c r="W503" s="4">
        <f>IF(ISERROR(VLOOKUP($T$503,'TAR FIN'!$A$1:$O$85,15,0)),0,VLOOKUP($T$503,'TAR FIN'!$A$1:$O$85,15,0))</f>
        <v>220.65</v>
      </c>
      <c r="X503" s="4">
        <f>IF(ISERROR(VLOOKUP($U$503,'TAR FIN'!$A$1:$O$85,15,0)),0,VLOOKUP($U$503,'TAR FIN'!$A$1:$O$85,15,0))</f>
        <v>160.75</v>
      </c>
      <c r="Y503" s="4"/>
      <c r="Z503" s="4">
        <f ca="1">('TUSD BE'!$AM$51+'TUSD BF'!$AM$51+'TUSD CVA'!$AM$51)*1</f>
        <v>262.56166938872423</v>
      </c>
      <c r="AA503" s="4">
        <f>('TE BE'!$AB$41+'TE BF'!$AB$41+'TE CVA'!$AB$41)*1</f>
        <v>111.25249439721333</v>
      </c>
      <c r="AB503" s="4">
        <f>$K$503*$V$503</f>
        <v>0</v>
      </c>
      <c r="AC503" s="4">
        <f>$M$503*$W$503</f>
        <v>475.94204999999999</v>
      </c>
      <c r="AD503" s="4">
        <f>$O$503*$X$503</f>
        <v>346.73775000000001</v>
      </c>
      <c r="AE503" s="4">
        <f>$K$503*$Y$503</f>
        <v>0</v>
      </c>
      <c r="AF503" s="4">
        <f ca="1">$M$503*$Z$503</f>
        <v>566.34552087147813</v>
      </c>
      <c r="AG503" s="4">
        <f>$O$503*$AA$503</f>
        <v>239.97163041478916</v>
      </c>
    </row>
    <row r="504" spans="1:33" ht="11.25" customHeight="1" x14ac:dyDescent="0.25">
      <c r="A504" s="3" t="s">
        <v>21</v>
      </c>
      <c r="B504" s="3" t="s">
        <v>43</v>
      </c>
      <c r="C504" s="3" t="s">
        <v>23</v>
      </c>
      <c r="D504" s="3" t="s">
        <v>44</v>
      </c>
      <c r="E504" s="3" t="s">
        <v>46</v>
      </c>
      <c r="F504" s="3" t="s">
        <v>25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2.0880000000000001</v>
      </c>
      <c r="M504" s="4">
        <v>2.0880000000000001</v>
      </c>
      <c r="N504" s="4">
        <v>2.0880000000000001</v>
      </c>
      <c r="O504" s="4">
        <v>2.0880000000000001</v>
      </c>
      <c r="P504" s="4">
        <v>2</v>
      </c>
      <c r="Q504" s="3" t="s">
        <v>26</v>
      </c>
      <c r="R504" s="3">
        <v>0</v>
      </c>
      <c r="S504" s="4">
        <v>0</v>
      </c>
      <c r="T504" s="4">
        <v>64</v>
      </c>
      <c r="U504" s="4">
        <v>84</v>
      </c>
      <c r="V504" s="4">
        <f>IF(ISERROR(VLOOKUP($S$504,'TAR FIN'!$A$1:$O$85,15,0)),0,VLOOKUP($S$504,'TAR FIN'!$A$1:$O$85,15,0))</f>
        <v>0</v>
      </c>
      <c r="W504" s="4">
        <f>IF(ISERROR(VLOOKUP($T$504,'TAR FIN'!$A$1:$O$85,15,0)),0,VLOOKUP($T$504,'TAR FIN'!$A$1:$O$85,15,0))</f>
        <v>220.65</v>
      </c>
      <c r="X504" s="4">
        <f>IF(ISERROR(VLOOKUP($U$504,'TAR FIN'!$A$1:$O$85,15,0)),0,VLOOKUP($U$504,'TAR FIN'!$A$1:$O$85,15,0))</f>
        <v>160.75</v>
      </c>
      <c r="Y504" s="4"/>
      <c r="Z504" s="4">
        <f ca="1">('TUSD BE'!$AM$51+'TUSD BF'!$AM$51+'TUSD CVA'!$AM$51)*1</f>
        <v>262.56166938872423</v>
      </c>
      <c r="AA504" s="4">
        <f>('TE BE'!$AB$41+'TE BF'!$AB$41+'TE CVA'!$AB$41)*1</f>
        <v>111.25249439721333</v>
      </c>
      <c r="AB504" s="4">
        <f>$K$504*$V$504</f>
        <v>0</v>
      </c>
      <c r="AC504" s="4">
        <f>$M$504*$W$504</f>
        <v>460.71720000000005</v>
      </c>
      <c r="AD504" s="4">
        <f>$O$504*$X$504</f>
        <v>335.64600000000002</v>
      </c>
      <c r="AE504" s="4">
        <f>$K$504*$Y$504</f>
        <v>0</v>
      </c>
      <c r="AF504" s="4">
        <f ca="1">$M$504*$Z$504</f>
        <v>548.22876568365621</v>
      </c>
      <c r="AG504" s="4">
        <f>$O$504*$AA$504</f>
        <v>232.29520830138142</v>
      </c>
    </row>
    <row r="505" spans="1:33" ht="11.25" customHeight="1" x14ac:dyDescent="0.25">
      <c r="A505" s="3" t="s">
        <v>21</v>
      </c>
      <c r="B505" s="3" t="s">
        <v>43</v>
      </c>
      <c r="C505" s="3" t="s">
        <v>23</v>
      </c>
      <c r="D505" s="3" t="s">
        <v>44</v>
      </c>
      <c r="E505" s="3" t="s">
        <v>46</v>
      </c>
      <c r="F505" s="3" t="s">
        <v>25</v>
      </c>
      <c r="G505" s="3" t="s">
        <v>25</v>
      </c>
      <c r="H505" s="3" t="s">
        <v>25</v>
      </c>
      <c r="I505" s="6">
        <v>44682</v>
      </c>
      <c r="J505" s="4">
        <v>0</v>
      </c>
      <c r="K505" s="4">
        <v>0</v>
      </c>
      <c r="L505" s="4">
        <v>2.157</v>
      </c>
      <c r="M505" s="4">
        <v>2.157</v>
      </c>
      <c r="N505" s="4">
        <v>2.157</v>
      </c>
      <c r="O505" s="4">
        <v>2.157</v>
      </c>
      <c r="P505" s="4">
        <v>2</v>
      </c>
      <c r="Q505" s="3" t="s">
        <v>26</v>
      </c>
      <c r="R505" s="3">
        <v>0</v>
      </c>
      <c r="S505" s="4">
        <v>0</v>
      </c>
      <c r="T505" s="4">
        <v>64</v>
      </c>
      <c r="U505" s="4">
        <v>84</v>
      </c>
      <c r="V505" s="4">
        <f>IF(ISERROR(VLOOKUP($S$505,'TAR FIN'!$A$1:$O$85,15,0)),0,VLOOKUP($S$505,'TAR FIN'!$A$1:$O$85,15,0))</f>
        <v>0</v>
      </c>
      <c r="W505" s="4">
        <f>IF(ISERROR(VLOOKUP($T$505,'TAR FIN'!$A$1:$O$85,15,0)),0,VLOOKUP($T$505,'TAR FIN'!$A$1:$O$85,15,0))</f>
        <v>220.65</v>
      </c>
      <c r="X505" s="4">
        <f>IF(ISERROR(VLOOKUP($U$505,'TAR FIN'!$A$1:$O$85,15,0)),0,VLOOKUP($U$505,'TAR FIN'!$A$1:$O$85,15,0))</f>
        <v>160.75</v>
      </c>
      <c r="Y505" s="4"/>
      <c r="Z505" s="4">
        <f ca="1">('TUSD BE'!$AM$51+'TUSD BF'!$AM$51+'TUSD CVA'!$AM$51)*1</f>
        <v>262.56166938872423</v>
      </c>
      <c r="AA505" s="4">
        <f>('TE BE'!$AB$41+'TE BF'!$AB$41+'TE CVA'!$AB$41)*1</f>
        <v>111.25249439721333</v>
      </c>
      <c r="AB505" s="4">
        <f>$K$505*$V$505</f>
        <v>0</v>
      </c>
      <c r="AC505" s="4">
        <f>$M$505*$W$505</f>
        <v>475.94204999999999</v>
      </c>
      <c r="AD505" s="4">
        <f>$O$505*$X$505</f>
        <v>346.73775000000001</v>
      </c>
      <c r="AE505" s="4">
        <f>$K$505*$Y$505</f>
        <v>0</v>
      </c>
      <c r="AF505" s="4">
        <f ca="1">$M$505*$Z$505</f>
        <v>566.34552087147813</v>
      </c>
      <c r="AG505" s="4">
        <f>$O$505*$AA$505</f>
        <v>239.97163041478916</v>
      </c>
    </row>
    <row r="506" spans="1:33" ht="11.25" customHeight="1" x14ac:dyDescent="0.25">
      <c r="A506" s="3" t="s">
        <v>21</v>
      </c>
      <c r="B506" s="3" t="s">
        <v>43</v>
      </c>
      <c r="C506" s="3" t="s">
        <v>23</v>
      </c>
      <c r="D506" s="3" t="s">
        <v>44</v>
      </c>
      <c r="E506" s="3" t="s">
        <v>46</v>
      </c>
      <c r="F506" s="3" t="s">
        <v>25</v>
      </c>
      <c r="G506" s="3" t="s">
        <v>25</v>
      </c>
      <c r="H506" s="3" t="s">
        <v>25</v>
      </c>
      <c r="I506" s="6">
        <v>44713</v>
      </c>
      <c r="J506" s="4">
        <v>0</v>
      </c>
      <c r="K506" s="4">
        <v>0</v>
      </c>
      <c r="L506" s="4">
        <v>2.0880000000000001</v>
      </c>
      <c r="M506" s="4">
        <v>2.0880000000000001</v>
      </c>
      <c r="N506" s="4">
        <v>2.0880000000000001</v>
      </c>
      <c r="O506" s="4">
        <v>2.0880000000000001</v>
      </c>
      <c r="P506" s="4">
        <v>2</v>
      </c>
      <c r="Q506" s="3" t="s">
        <v>26</v>
      </c>
      <c r="R506" s="3">
        <v>0</v>
      </c>
      <c r="S506" s="4">
        <v>0</v>
      </c>
      <c r="T506" s="4">
        <v>64</v>
      </c>
      <c r="U506" s="4">
        <v>84</v>
      </c>
      <c r="V506" s="4">
        <f>IF(ISERROR(VLOOKUP($S$506,'TAR FIN'!$A$1:$O$85,15,0)),0,VLOOKUP($S$506,'TAR FIN'!$A$1:$O$85,15,0))</f>
        <v>0</v>
      </c>
      <c r="W506" s="4">
        <f>IF(ISERROR(VLOOKUP($T$506,'TAR FIN'!$A$1:$O$85,15,0)),0,VLOOKUP($T$506,'TAR FIN'!$A$1:$O$85,15,0))</f>
        <v>220.65</v>
      </c>
      <c r="X506" s="4">
        <f>IF(ISERROR(VLOOKUP($U$506,'TAR FIN'!$A$1:$O$85,15,0)),0,VLOOKUP($U$506,'TAR FIN'!$A$1:$O$85,15,0))</f>
        <v>160.75</v>
      </c>
      <c r="Y506" s="4"/>
      <c r="Z506" s="4">
        <f ca="1">('TUSD BE'!$AM$51+'TUSD BF'!$AM$51+'TUSD CVA'!$AM$51)*1</f>
        <v>262.56166938872423</v>
      </c>
      <c r="AA506" s="4">
        <f>('TE BE'!$AB$41+'TE BF'!$AB$41+'TE CVA'!$AB$41)*1</f>
        <v>111.25249439721333</v>
      </c>
      <c r="AB506" s="4">
        <f>$K$506*$V$506</f>
        <v>0</v>
      </c>
      <c r="AC506" s="4">
        <f>$M$506*$W$506</f>
        <v>460.71720000000005</v>
      </c>
      <c r="AD506" s="4">
        <f>$O$506*$X$506</f>
        <v>335.64600000000002</v>
      </c>
      <c r="AE506" s="4">
        <f>$K$506*$Y$506</f>
        <v>0</v>
      </c>
      <c r="AF506" s="4">
        <f ca="1">$M$506*$Z$506</f>
        <v>548.22876568365621</v>
      </c>
      <c r="AG506" s="4">
        <f>$O$506*$AA$506</f>
        <v>232.29520830138142</v>
      </c>
    </row>
    <row r="507" spans="1:33" ht="11.25" customHeight="1" x14ac:dyDescent="0.25">
      <c r="A507" s="3" t="s">
        <v>21</v>
      </c>
      <c r="B507" s="3" t="s">
        <v>43</v>
      </c>
      <c r="C507" s="3" t="s">
        <v>23</v>
      </c>
      <c r="D507" s="3" t="s">
        <v>44</v>
      </c>
      <c r="E507" s="3" t="s">
        <v>46</v>
      </c>
      <c r="F507" s="3" t="s">
        <v>25</v>
      </c>
      <c r="G507" s="3" t="s">
        <v>25</v>
      </c>
      <c r="H507" s="3" t="s">
        <v>25</v>
      </c>
      <c r="I507" s="6">
        <v>44743</v>
      </c>
      <c r="J507" s="4">
        <v>0</v>
      </c>
      <c r="K507" s="4">
        <v>0</v>
      </c>
      <c r="L507" s="4">
        <v>2.157</v>
      </c>
      <c r="M507" s="4">
        <v>2.157</v>
      </c>
      <c r="N507" s="4">
        <v>2.157</v>
      </c>
      <c r="O507" s="4">
        <v>2.157</v>
      </c>
      <c r="P507" s="4">
        <v>2</v>
      </c>
      <c r="Q507" s="3" t="s">
        <v>26</v>
      </c>
      <c r="R507" s="3">
        <v>0</v>
      </c>
      <c r="S507" s="4">
        <v>0</v>
      </c>
      <c r="T507" s="4">
        <v>64</v>
      </c>
      <c r="U507" s="4">
        <v>84</v>
      </c>
      <c r="V507" s="4">
        <f>IF(ISERROR(VLOOKUP($S$507,'TAR FIN'!$A$1:$O$85,15,0)),0,VLOOKUP($S$507,'TAR FIN'!$A$1:$O$85,15,0))</f>
        <v>0</v>
      </c>
      <c r="W507" s="4">
        <f>IF(ISERROR(VLOOKUP($T$507,'TAR FIN'!$A$1:$O$85,15,0)),0,VLOOKUP($T$507,'TAR FIN'!$A$1:$O$85,15,0))</f>
        <v>220.65</v>
      </c>
      <c r="X507" s="4">
        <f>IF(ISERROR(VLOOKUP($U$507,'TAR FIN'!$A$1:$O$85,15,0)),0,VLOOKUP($U$507,'TAR FIN'!$A$1:$O$85,15,0))</f>
        <v>160.75</v>
      </c>
      <c r="Y507" s="4"/>
      <c r="Z507" s="4">
        <f ca="1">('TUSD BE'!$AM$51+'TUSD BF'!$AM$51+'TUSD CVA'!$AM$51)*1</f>
        <v>262.56166938872423</v>
      </c>
      <c r="AA507" s="4">
        <f>('TE BE'!$AB$41+'TE BF'!$AB$41+'TE CVA'!$AB$41)*1</f>
        <v>111.25249439721333</v>
      </c>
      <c r="AB507" s="4">
        <f>$K$507*$V$507</f>
        <v>0</v>
      </c>
      <c r="AC507" s="4">
        <f>$M$507*$W$507</f>
        <v>475.94204999999999</v>
      </c>
      <c r="AD507" s="4">
        <f>$O$507*$X$507</f>
        <v>346.73775000000001</v>
      </c>
      <c r="AE507" s="4">
        <f>$K$507*$Y$507</f>
        <v>0</v>
      </c>
      <c r="AF507" s="4">
        <f ca="1">$M$507*$Z$507</f>
        <v>566.34552087147813</v>
      </c>
      <c r="AG507" s="4">
        <f>$O$507*$AA$507</f>
        <v>239.97163041478916</v>
      </c>
    </row>
    <row r="508" spans="1:33" ht="11.25" customHeight="1" x14ac:dyDescent="0.25">
      <c r="A508" s="3" t="s">
        <v>21</v>
      </c>
      <c r="B508" s="3" t="s">
        <v>43</v>
      </c>
      <c r="C508" s="3" t="s">
        <v>23</v>
      </c>
      <c r="D508" s="3" t="s">
        <v>44</v>
      </c>
      <c r="E508" s="3" t="s">
        <v>46</v>
      </c>
      <c r="F508" s="3" t="s">
        <v>25</v>
      </c>
      <c r="G508" s="3" t="s">
        <v>25</v>
      </c>
      <c r="H508" s="3" t="s">
        <v>25</v>
      </c>
      <c r="I508" s="6">
        <v>44774</v>
      </c>
      <c r="J508" s="4">
        <v>0</v>
      </c>
      <c r="K508" s="4">
        <v>0</v>
      </c>
      <c r="L508" s="4">
        <v>2.157</v>
      </c>
      <c r="M508" s="4">
        <v>2.157</v>
      </c>
      <c r="N508" s="4">
        <v>2.157</v>
      </c>
      <c r="O508" s="4">
        <v>2.157</v>
      </c>
      <c r="P508" s="4">
        <v>2</v>
      </c>
      <c r="Q508" s="3" t="s">
        <v>26</v>
      </c>
      <c r="R508" s="3">
        <v>0</v>
      </c>
      <c r="S508" s="4">
        <v>0</v>
      </c>
      <c r="T508" s="4">
        <v>64</v>
      </c>
      <c r="U508" s="4">
        <v>84</v>
      </c>
      <c r="V508" s="4">
        <f>IF(ISERROR(VLOOKUP($S$508,'TAR FIN'!$A$1:$O$85,15,0)),0,VLOOKUP($S$508,'TAR FIN'!$A$1:$O$85,15,0))</f>
        <v>0</v>
      </c>
      <c r="W508" s="4">
        <f>IF(ISERROR(VLOOKUP($T$508,'TAR FIN'!$A$1:$O$85,15,0)),0,VLOOKUP($T$508,'TAR FIN'!$A$1:$O$85,15,0))</f>
        <v>220.65</v>
      </c>
      <c r="X508" s="4">
        <f>IF(ISERROR(VLOOKUP($U$508,'TAR FIN'!$A$1:$O$85,15,0)),0,VLOOKUP($U$508,'TAR FIN'!$A$1:$O$85,15,0))</f>
        <v>160.75</v>
      </c>
      <c r="Y508" s="4"/>
      <c r="Z508" s="4">
        <f ca="1">('TUSD BE'!$AM$51+'TUSD BF'!$AM$51+'TUSD CVA'!$AM$51)*1</f>
        <v>262.56166938872423</v>
      </c>
      <c r="AA508" s="4">
        <f>('TE BE'!$AB$41+'TE BF'!$AB$41+'TE CVA'!$AB$41)*1</f>
        <v>111.25249439721333</v>
      </c>
      <c r="AB508" s="4">
        <f>$K$508*$V$508</f>
        <v>0</v>
      </c>
      <c r="AC508" s="4">
        <f>$M$508*$W$508</f>
        <v>475.94204999999999</v>
      </c>
      <c r="AD508" s="4">
        <f>$O$508*$X$508</f>
        <v>346.73775000000001</v>
      </c>
      <c r="AE508" s="4">
        <f>$K$508*$Y$508</f>
        <v>0</v>
      </c>
      <c r="AF508" s="4">
        <f ca="1">$M$508*$Z$508</f>
        <v>566.34552087147813</v>
      </c>
      <c r="AG508" s="4">
        <f>$O$508*$AA$508</f>
        <v>239.97163041478916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20B5-5A7A-4BE8-95D2-110FD97495EA}">
  <dimension ref="A1:AJ509"/>
  <sheetViews>
    <sheetView showGridLines="0" topLeftCell="Y1" workbookViewId="0">
      <selection activeCell="AJ13" sqref="AJ13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5" width="8.7109375" style="3" bestFit="1" customWidth="1"/>
    <col min="36" max="36" width="10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H1" s="34" t="s">
        <v>608</v>
      </c>
      <c r="AI1" s="34" t="s">
        <v>614</v>
      </c>
      <c r="AJ1" s="34" t="s">
        <v>615</v>
      </c>
    </row>
    <row r="2" spans="1:36" ht="11.25" customHeight="1" x14ac:dyDescent="0.25">
      <c r="A2" s="3" t="s">
        <v>21</v>
      </c>
      <c r="B2" s="3" t="s">
        <v>35</v>
      </c>
      <c r="C2" s="3" t="s">
        <v>54</v>
      </c>
      <c r="D2" s="3" t="s">
        <v>34</v>
      </c>
      <c r="E2" s="3" t="s">
        <v>25</v>
      </c>
      <c r="F2" s="3" t="s">
        <v>55</v>
      </c>
      <c r="G2" s="3" t="s">
        <v>25</v>
      </c>
      <c r="H2" s="3" t="s">
        <v>38</v>
      </c>
      <c r="I2" s="6">
        <v>44440</v>
      </c>
      <c r="J2" s="4">
        <v>87</v>
      </c>
      <c r="K2" s="4">
        <v>43.5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56</v>
      </c>
      <c r="R2" s="3">
        <v>0</v>
      </c>
      <c r="S2" s="3">
        <v>1</v>
      </c>
      <c r="T2" s="3">
        <v>0</v>
      </c>
      <c r="U2" s="3">
        <v>0</v>
      </c>
      <c r="V2" s="4">
        <f>IF(ISERROR(VLOOKUP($S$2,'TAR FIN'!$A$1:$O$85,15,0)),0,VLOOKUP($S$2,'TAR FIN'!$A$1:$O$85,15,0))</f>
        <v>22.34</v>
      </c>
      <c r="W2" s="4">
        <f>IF(ISERROR(VLOOKUP($T$2,'TAR FIN'!$A$1:$O$85,15,0)),0,VLOOKUP($T$2,'TAR FIN'!$A$1:$O$85,15,0))</f>
        <v>0</v>
      </c>
      <c r="X2" s="4">
        <f>IF(ISERROR(VLOOKUP($U$2,'TAR FIN'!$A$1:$O$85,15,0)),0,VLOOKUP($U$2,'TAR FIN'!$A$1:$O$85,15,0))</f>
        <v>0</v>
      </c>
      <c r="Y2" s="4">
        <f ca="1">('TUSD BE'!$AM$6+'TUSD BF'!$AM$6+'TUSD CVA'!$AM$6)*1</f>
        <v>28.040256427516418</v>
      </c>
      <c r="Z2" s="4">
        <f ca="1">('TUSD BE'!$AM$7+'TUSD BF'!$AM$7+'TUSD CVA'!$AM$7)*1</f>
        <v>100.14715657738388</v>
      </c>
      <c r="AA2" s="4"/>
      <c r="AB2" s="4">
        <f t="shared" ref="AB2:AB65" si="0">(J2-K2)*V2</f>
        <v>971.79</v>
      </c>
      <c r="AC2" s="4">
        <f t="shared" ref="AC2:AC33" si="1">(L2-M2)*W2+(N2-O2)*X2</f>
        <v>0</v>
      </c>
      <c r="AD2" s="4">
        <f t="shared" ref="AD2:AD65" ca="1" si="2">(J2-K2)*Y2</f>
        <v>1219.7511545969642</v>
      </c>
      <c r="AE2" s="4">
        <f t="shared" ref="AE2:AE33" ca="1" si="3">(L2-M2)*Z2+(N2-O2)*AA2</f>
        <v>0</v>
      </c>
      <c r="AF2" s="3" t="s">
        <v>609</v>
      </c>
      <c r="AH2" s="35" t="s">
        <v>609</v>
      </c>
      <c r="AI2" s="36">
        <f t="shared" ref="AI2:AI9" si="4">SUMIF($AF$2:$AF$509,AH2,$AB$2:$AB$509)+SUMIF($AF$2:$AF$509,AH2,$AC$2:$AC$509)</f>
        <v>463196.01014525001</v>
      </c>
      <c r="AJ2" s="36">
        <f t="shared" ref="AJ2:AJ9" ca="1" si="5">SUMIF($AF$2:$AF$509,AH2,$AD$2:$AD$509)+SUMIF($AF$2:$AF$509,AH2,$AE$2:$AE$509)</f>
        <v>540344.15345935838</v>
      </c>
    </row>
    <row r="3" spans="1:36" ht="11.25" customHeight="1" x14ac:dyDescent="0.25">
      <c r="A3" s="3" t="s">
        <v>21</v>
      </c>
      <c r="B3" s="3" t="s">
        <v>35</v>
      </c>
      <c r="C3" s="3" t="s">
        <v>54</v>
      </c>
      <c r="D3" s="3" t="s">
        <v>34</v>
      </c>
      <c r="E3" s="3" t="s">
        <v>25</v>
      </c>
      <c r="F3" s="3" t="s">
        <v>55</v>
      </c>
      <c r="G3" s="3" t="s">
        <v>25</v>
      </c>
      <c r="H3" s="3" t="s">
        <v>38</v>
      </c>
      <c r="I3" s="6">
        <v>44470</v>
      </c>
      <c r="J3" s="4">
        <v>87</v>
      </c>
      <c r="K3" s="4">
        <v>43.5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56</v>
      </c>
      <c r="R3" s="3">
        <v>0</v>
      </c>
      <c r="S3" s="3">
        <v>1</v>
      </c>
      <c r="T3" s="3">
        <v>0</v>
      </c>
      <c r="U3" s="3">
        <v>0</v>
      </c>
      <c r="V3" s="4">
        <f>IF(ISERROR(VLOOKUP($S$3,'TAR FIN'!$A$1:$O$85,15,0)),0,VLOOKUP($S$3,'TAR FIN'!$A$1:$O$85,15,0))</f>
        <v>22.34</v>
      </c>
      <c r="W3" s="4">
        <f>IF(ISERROR(VLOOKUP($T$3,'TAR FIN'!$A$1:$O$85,15,0)),0,VLOOKUP($T$3,'TAR FIN'!$A$1:$O$85,15,0))</f>
        <v>0</v>
      </c>
      <c r="X3" s="4">
        <f>IF(ISERROR(VLOOKUP($U$3,'TAR FIN'!$A$1:$O$85,15,0)),0,VLOOKUP($U$3,'TAR FIN'!$A$1:$O$85,15,0))</f>
        <v>0</v>
      </c>
      <c r="Y3" s="4">
        <f ca="1">('TUSD BE'!$AM$6+'TUSD BF'!$AM$6+'TUSD CVA'!$AM$6)*1</f>
        <v>28.040256427516418</v>
      </c>
      <c r="Z3" s="4">
        <f ca="1">('TUSD BE'!$AM$7+'TUSD BF'!$AM$7+'TUSD CVA'!$AM$7)*1</f>
        <v>100.14715657738388</v>
      </c>
      <c r="AA3" s="4"/>
      <c r="AB3" s="4">
        <f t="shared" si="0"/>
        <v>971.79</v>
      </c>
      <c r="AC3" s="4">
        <f t="shared" si="1"/>
        <v>0</v>
      </c>
      <c r="AD3" s="4">
        <f t="shared" ca="1" si="2"/>
        <v>1219.7511545969642</v>
      </c>
      <c r="AE3" s="4">
        <f t="shared" ca="1" si="3"/>
        <v>0</v>
      </c>
      <c r="AF3" s="3" t="s">
        <v>609</v>
      </c>
      <c r="AH3" s="35" t="s">
        <v>616</v>
      </c>
      <c r="AI3" s="36">
        <f t="shared" si="4"/>
        <v>0</v>
      </c>
      <c r="AJ3" s="36">
        <f t="shared" si="5"/>
        <v>0</v>
      </c>
    </row>
    <row r="4" spans="1:36" ht="11.25" customHeight="1" x14ac:dyDescent="0.25">
      <c r="A4" s="3" t="s">
        <v>21</v>
      </c>
      <c r="B4" s="3" t="s">
        <v>35</v>
      </c>
      <c r="C4" s="3" t="s">
        <v>54</v>
      </c>
      <c r="D4" s="3" t="s">
        <v>34</v>
      </c>
      <c r="E4" s="3" t="s">
        <v>25</v>
      </c>
      <c r="F4" s="3" t="s">
        <v>55</v>
      </c>
      <c r="G4" s="3" t="s">
        <v>25</v>
      </c>
      <c r="H4" s="3" t="s">
        <v>38</v>
      </c>
      <c r="I4" s="6">
        <v>44501</v>
      </c>
      <c r="J4" s="4">
        <v>89</v>
      </c>
      <c r="K4" s="4">
        <v>44.5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56</v>
      </c>
      <c r="R4" s="3">
        <v>0</v>
      </c>
      <c r="S4" s="3">
        <v>1</v>
      </c>
      <c r="T4" s="3">
        <v>0</v>
      </c>
      <c r="U4" s="3">
        <v>0</v>
      </c>
      <c r="V4" s="4">
        <f>IF(ISERROR(VLOOKUP($S$4,'TAR FIN'!$A$1:$O$85,15,0)),0,VLOOKUP($S$4,'TAR FIN'!$A$1:$O$85,15,0))</f>
        <v>22.34</v>
      </c>
      <c r="W4" s="4">
        <f>IF(ISERROR(VLOOKUP($T$4,'TAR FIN'!$A$1:$O$85,15,0)),0,VLOOKUP($T$4,'TAR FIN'!$A$1:$O$85,15,0))</f>
        <v>0</v>
      </c>
      <c r="X4" s="4">
        <f>IF(ISERROR(VLOOKUP($U$4,'TAR FIN'!$A$1:$O$85,15,0)),0,VLOOKUP($U$4,'TAR FIN'!$A$1:$O$85,15,0))</f>
        <v>0</v>
      </c>
      <c r="Y4" s="4">
        <f ca="1">('TUSD BE'!$AM$6+'TUSD BF'!$AM$6+'TUSD CVA'!$AM$6)*1</f>
        <v>28.040256427516418</v>
      </c>
      <c r="Z4" s="4">
        <f ca="1">('TUSD BE'!$AM$7+'TUSD BF'!$AM$7+'TUSD CVA'!$AM$7)*1</f>
        <v>100.14715657738388</v>
      </c>
      <c r="AA4" s="4"/>
      <c r="AB4" s="4">
        <f t="shared" si="0"/>
        <v>994.13</v>
      </c>
      <c r="AC4" s="4">
        <f t="shared" si="1"/>
        <v>0</v>
      </c>
      <c r="AD4" s="4">
        <f t="shared" ca="1" si="2"/>
        <v>1247.7914110244806</v>
      </c>
      <c r="AE4" s="4">
        <f t="shared" ca="1" si="3"/>
        <v>0</v>
      </c>
      <c r="AF4" s="3" t="s">
        <v>609</v>
      </c>
      <c r="AH4" s="35" t="s">
        <v>617</v>
      </c>
      <c r="AI4" s="36">
        <f t="shared" si="4"/>
        <v>0</v>
      </c>
      <c r="AJ4" s="36">
        <f t="shared" si="5"/>
        <v>0</v>
      </c>
    </row>
    <row r="5" spans="1:36" ht="11.25" customHeight="1" x14ac:dyDescent="0.25">
      <c r="A5" s="3" t="s">
        <v>21</v>
      </c>
      <c r="B5" s="3" t="s">
        <v>35</v>
      </c>
      <c r="C5" s="3" t="s">
        <v>54</v>
      </c>
      <c r="D5" s="3" t="s">
        <v>34</v>
      </c>
      <c r="E5" s="3" t="s">
        <v>25</v>
      </c>
      <c r="F5" s="3" t="s">
        <v>55</v>
      </c>
      <c r="G5" s="3" t="s">
        <v>25</v>
      </c>
      <c r="H5" s="3" t="s">
        <v>38</v>
      </c>
      <c r="I5" s="6">
        <v>44531</v>
      </c>
      <c r="J5" s="4">
        <v>89</v>
      </c>
      <c r="K5" s="4">
        <v>44.5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56</v>
      </c>
      <c r="R5" s="3">
        <v>0</v>
      </c>
      <c r="S5" s="3">
        <v>1</v>
      </c>
      <c r="T5" s="3">
        <v>0</v>
      </c>
      <c r="U5" s="3">
        <v>0</v>
      </c>
      <c r="V5" s="4">
        <f>IF(ISERROR(VLOOKUP($S$5,'TAR FIN'!$A$1:$O$85,15,0)),0,VLOOKUP($S$5,'TAR FIN'!$A$1:$O$85,15,0))</f>
        <v>22.34</v>
      </c>
      <c r="W5" s="4">
        <f>IF(ISERROR(VLOOKUP($T$5,'TAR FIN'!$A$1:$O$85,15,0)),0,VLOOKUP($T$5,'TAR FIN'!$A$1:$O$85,15,0))</f>
        <v>0</v>
      </c>
      <c r="X5" s="4">
        <f>IF(ISERROR(VLOOKUP($U$5,'TAR FIN'!$A$1:$O$85,15,0)),0,VLOOKUP($U$5,'TAR FIN'!$A$1:$O$85,15,0))</f>
        <v>0</v>
      </c>
      <c r="Y5" s="4">
        <f ca="1">('TUSD BE'!$AM$6+'TUSD BF'!$AM$6+'TUSD CVA'!$AM$6)*1</f>
        <v>28.040256427516418</v>
      </c>
      <c r="Z5" s="4">
        <f ca="1">('TUSD BE'!$AM$7+'TUSD BF'!$AM$7+'TUSD CVA'!$AM$7)*1</f>
        <v>100.14715657738388</v>
      </c>
      <c r="AA5" s="4"/>
      <c r="AB5" s="4">
        <f t="shared" si="0"/>
        <v>994.13</v>
      </c>
      <c r="AC5" s="4">
        <f t="shared" si="1"/>
        <v>0</v>
      </c>
      <c r="AD5" s="4">
        <f t="shared" ca="1" si="2"/>
        <v>1247.7914110244806</v>
      </c>
      <c r="AE5" s="4">
        <f t="shared" ca="1" si="3"/>
        <v>0</v>
      </c>
      <c r="AF5" s="3" t="s">
        <v>609</v>
      </c>
      <c r="AH5" s="35" t="s">
        <v>613</v>
      </c>
      <c r="AI5" s="36">
        <f t="shared" si="4"/>
        <v>7607.8585704000006</v>
      </c>
      <c r="AJ5" s="36">
        <f t="shared" ca="1" si="5"/>
        <v>3728.3103253518061</v>
      </c>
    </row>
    <row r="6" spans="1:36" ht="11.25" customHeight="1" x14ac:dyDescent="0.25">
      <c r="A6" s="3" t="s">
        <v>21</v>
      </c>
      <c r="B6" s="3" t="s">
        <v>35</v>
      </c>
      <c r="C6" s="3" t="s">
        <v>54</v>
      </c>
      <c r="D6" s="3" t="s">
        <v>34</v>
      </c>
      <c r="E6" s="3" t="s">
        <v>25</v>
      </c>
      <c r="F6" s="3" t="s">
        <v>55</v>
      </c>
      <c r="G6" s="3" t="s">
        <v>25</v>
      </c>
      <c r="H6" s="3" t="s">
        <v>38</v>
      </c>
      <c r="I6" s="6">
        <v>44562</v>
      </c>
      <c r="J6" s="4">
        <v>87</v>
      </c>
      <c r="K6" s="4">
        <v>43.5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56</v>
      </c>
      <c r="R6" s="3">
        <v>0</v>
      </c>
      <c r="S6" s="3">
        <v>1</v>
      </c>
      <c r="T6" s="3">
        <v>0</v>
      </c>
      <c r="U6" s="3">
        <v>0</v>
      </c>
      <c r="V6" s="4">
        <f>IF(ISERROR(VLOOKUP($S$6,'TAR FIN'!$A$1:$O$85,15,0)),0,VLOOKUP($S$6,'TAR FIN'!$A$1:$O$85,15,0))</f>
        <v>22.34</v>
      </c>
      <c r="W6" s="4">
        <f>IF(ISERROR(VLOOKUP($T$6,'TAR FIN'!$A$1:$O$85,15,0)),0,VLOOKUP($T$6,'TAR FIN'!$A$1:$O$85,15,0))</f>
        <v>0</v>
      </c>
      <c r="X6" s="4">
        <f>IF(ISERROR(VLOOKUP($U$6,'TAR FIN'!$A$1:$O$85,15,0)),0,VLOOKUP($U$6,'TAR FIN'!$A$1:$O$85,15,0))</f>
        <v>0</v>
      </c>
      <c r="Y6" s="4">
        <f ca="1">('TUSD BE'!$AM$6+'TUSD BF'!$AM$6+'TUSD CVA'!$AM$6)*1</f>
        <v>28.040256427516418</v>
      </c>
      <c r="Z6" s="4">
        <f ca="1">('TUSD BE'!$AM$7+'TUSD BF'!$AM$7+'TUSD CVA'!$AM$7)*1</f>
        <v>100.14715657738388</v>
      </c>
      <c r="AA6" s="4"/>
      <c r="AB6" s="4">
        <f t="shared" si="0"/>
        <v>971.79</v>
      </c>
      <c r="AC6" s="4">
        <f t="shared" si="1"/>
        <v>0</v>
      </c>
      <c r="AD6" s="4">
        <f t="shared" ca="1" si="2"/>
        <v>1219.7511545969642</v>
      </c>
      <c r="AE6" s="4">
        <f t="shared" ca="1" si="3"/>
        <v>0</v>
      </c>
      <c r="AF6" s="3" t="s">
        <v>609</v>
      </c>
      <c r="AH6" s="35" t="s">
        <v>610</v>
      </c>
      <c r="AI6" s="36">
        <f t="shared" si="4"/>
        <v>431295.50996680046</v>
      </c>
      <c r="AJ6" s="36">
        <f t="shared" ca="1" si="5"/>
        <v>214076.19775988258</v>
      </c>
    </row>
    <row r="7" spans="1:36" ht="11.25" customHeight="1" x14ac:dyDescent="0.25">
      <c r="A7" s="3" t="s">
        <v>21</v>
      </c>
      <c r="B7" s="3" t="s">
        <v>35</v>
      </c>
      <c r="C7" s="3" t="s">
        <v>54</v>
      </c>
      <c r="D7" s="3" t="s">
        <v>34</v>
      </c>
      <c r="E7" s="3" t="s">
        <v>25</v>
      </c>
      <c r="F7" s="3" t="s">
        <v>55</v>
      </c>
      <c r="G7" s="3" t="s">
        <v>25</v>
      </c>
      <c r="H7" s="3" t="s">
        <v>38</v>
      </c>
      <c r="I7" s="6">
        <v>44593</v>
      </c>
      <c r="J7" s="4">
        <v>91</v>
      </c>
      <c r="K7" s="4">
        <v>45.5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56</v>
      </c>
      <c r="R7" s="3">
        <v>0</v>
      </c>
      <c r="S7" s="3">
        <v>1</v>
      </c>
      <c r="T7" s="3">
        <v>0</v>
      </c>
      <c r="U7" s="3">
        <v>0</v>
      </c>
      <c r="V7" s="4">
        <f>IF(ISERROR(VLOOKUP($S$7,'TAR FIN'!$A$1:$O$85,15,0)),0,VLOOKUP($S$7,'TAR FIN'!$A$1:$O$85,15,0))</f>
        <v>22.34</v>
      </c>
      <c r="W7" s="4">
        <f>IF(ISERROR(VLOOKUP($T$7,'TAR FIN'!$A$1:$O$85,15,0)),0,VLOOKUP($T$7,'TAR FIN'!$A$1:$O$85,15,0))</f>
        <v>0</v>
      </c>
      <c r="X7" s="4">
        <f>IF(ISERROR(VLOOKUP($U$7,'TAR FIN'!$A$1:$O$85,15,0)),0,VLOOKUP($U$7,'TAR FIN'!$A$1:$O$85,15,0))</f>
        <v>0</v>
      </c>
      <c r="Y7" s="4">
        <f ca="1">('TUSD BE'!$AM$6+'TUSD BF'!$AM$6+'TUSD CVA'!$AM$6)*1</f>
        <v>28.040256427516418</v>
      </c>
      <c r="Z7" s="4">
        <f ca="1">('TUSD BE'!$AM$7+'TUSD BF'!$AM$7+'TUSD CVA'!$AM$7)*1</f>
        <v>100.14715657738388</v>
      </c>
      <c r="AA7" s="4"/>
      <c r="AB7" s="4">
        <f t="shared" si="0"/>
        <v>1016.47</v>
      </c>
      <c r="AC7" s="4">
        <f t="shared" si="1"/>
        <v>0</v>
      </c>
      <c r="AD7" s="4">
        <f t="shared" ca="1" si="2"/>
        <v>1275.831667451997</v>
      </c>
      <c r="AE7" s="4">
        <f t="shared" ca="1" si="3"/>
        <v>0</v>
      </c>
      <c r="AF7" s="3" t="s">
        <v>609</v>
      </c>
      <c r="AH7" s="35" t="s">
        <v>611</v>
      </c>
      <c r="AI7" s="36">
        <f t="shared" si="4"/>
        <v>861915.06822399981</v>
      </c>
      <c r="AJ7" s="36">
        <f t="shared" ca="1" si="5"/>
        <v>775264.83044013253</v>
      </c>
    </row>
    <row r="8" spans="1:36" ht="11.25" customHeight="1" x14ac:dyDescent="0.25">
      <c r="A8" s="3" t="s">
        <v>21</v>
      </c>
      <c r="B8" s="3" t="s">
        <v>35</v>
      </c>
      <c r="C8" s="3" t="s">
        <v>54</v>
      </c>
      <c r="D8" s="3" t="s">
        <v>34</v>
      </c>
      <c r="E8" s="3" t="s">
        <v>25</v>
      </c>
      <c r="F8" s="3" t="s">
        <v>55</v>
      </c>
      <c r="G8" s="3" t="s">
        <v>25</v>
      </c>
      <c r="H8" s="3" t="s">
        <v>38</v>
      </c>
      <c r="I8" s="6">
        <v>44621</v>
      </c>
      <c r="J8" s="4">
        <v>91</v>
      </c>
      <c r="K8" s="4">
        <v>45.5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56</v>
      </c>
      <c r="R8" s="3">
        <v>0</v>
      </c>
      <c r="S8" s="3">
        <v>1</v>
      </c>
      <c r="T8" s="3">
        <v>0</v>
      </c>
      <c r="U8" s="3">
        <v>0</v>
      </c>
      <c r="V8" s="4">
        <f>IF(ISERROR(VLOOKUP($S$8,'TAR FIN'!$A$1:$O$85,15,0)),0,VLOOKUP($S$8,'TAR FIN'!$A$1:$O$85,15,0))</f>
        <v>22.34</v>
      </c>
      <c r="W8" s="4">
        <f>IF(ISERROR(VLOOKUP($T$8,'TAR FIN'!$A$1:$O$85,15,0)),0,VLOOKUP($T$8,'TAR FIN'!$A$1:$O$85,15,0))</f>
        <v>0</v>
      </c>
      <c r="X8" s="4">
        <f>IF(ISERROR(VLOOKUP($U$8,'TAR FIN'!$A$1:$O$85,15,0)),0,VLOOKUP($U$8,'TAR FIN'!$A$1:$O$85,15,0))</f>
        <v>0</v>
      </c>
      <c r="Y8" s="4">
        <f ca="1">('TUSD BE'!$AM$6+'TUSD BF'!$AM$6+'TUSD CVA'!$AM$6)*1</f>
        <v>28.040256427516418</v>
      </c>
      <c r="Z8" s="4">
        <f ca="1">('TUSD BE'!$AM$7+'TUSD BF'!$AM$7+'TUSD CVA'!$AM$7)*1</f>
        <v>100.14715657738388</v>
      </c>
      <c r="AA8" s="4"/>
      <c r="AB8" s="4">
        <f t="shared" si="0"/>
        <v>1016.47</v>
      </c>
      <c r="AC8" s="4">
        <f t="shared" si="1"/>
        <v>0</v>
      </c>
      <c r="AD8" s="4">
        <f t="shared" ca="1" si="2"/>
        <v>1275.831667451997</v>
      </c>
      <c r="AE8" s="4">
        <f t="shared" ca="1" si="3"/>
        <v>0</v>
      </c>
      <c r="AF8" s="3" t="s">
        <v>609</v>
      </c>
      <c r="AH8" s="35" t="s">
        <v>612</v>
      </c>
      <c r="AI8" s="36">
        <f t="shared" si="4"/>
        <v>68671.615560000035</v>
      </c>
      <c r="AJ8" s="36">
        <f t="shared" ca="1" si="5"/>
        <v>60830.261220507397</v>
      </c>
    </row>
    <row r="9" spans="1:36" ht="11.25" customHeight="1" x14ac:dyDescent="0.25">
      <c r="A9" s="3" t="s">
        <v>21</v>
      </c>
      <c r="B9" s="3" t="s">
        <v>35</v>
      </c>
      <c r="C9" s="3" t="s">
        <v>54</v>
      </c>
      <c r="D9" s="3" t="s">
        <v>34</v>
      </c>
      <c r="E9" s="3" t="s">
        <v>25</v>
      </c>
      <c r="F9" s="3" t="s">
        <v>55</v>
      </c>
      <c r="G9" s="3" t="s">
        <v>25</v>
      </c>
      <c r="H9" s="3" t="s">
        <v>38</v>
      </c>
      <c r="I9" s="6">
        <v>44652</v>
      </c>
      <c r="J9" s="4">
        <v>92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56</v>
      </c>
      <c r="R9" s="3">
        <v>0</v>
      </c>
      <c r="S9" s="3">
        <v>1</v>
      </c>
      <c r="T9" s="3">
        <v>0</v>
      </c>
      <c r="U9" s="3">
        <v>0</v>
      </c>
      <c r="V9" s="4">
        <f>IF(ISERROR(VLOOKUP($S$9,'TAR FIN'!$A$1:$O$85,15,0)),0,VLOOKUP($S$9,'TAR FIN'!$A$1:$O$85,15,0))</f>
        <v>22.34</v>
      </c>
      <c r="W9" s="4">
        <f>IF(ISERROR(VLOOKUP($T$9,'TAR FIN'!$A$1:$O$85,15,0)),0,VLOOKUP($T$9,'TAR FIN'!$A$1:$O$85,15,0))</f>
        <v>0</v>
      </c>
      <c r="X9" s="4">
        <f>IF(ISERROR(VLOOKUP($U$9,'TAR FIN'!$A$1:$O$85,15,0)),0,VLOOKUP($U$9,'TAR FIN'!$A$1:$O$85,15,0))</f>
        <v>0</v>
      </c>
      <c r="Y9" s="4">
        <f ca="1">('TUSD BE'!$AM$6+'TUSD BF'!$AM$6+'TUSD CVA'!$AM$6)*1</f>
        <v>28.040256427516418</v>
      </c>
      <c r="Z9" s="4">
        <f ca="1">('TUSD BE'!$AM$7+'TUSD BF'!$AM$7+'TUSD CVA'!$AM$7)*1</f>
        <v>100.14715657738388</v>
      </c>
      <c r="AA9" s="4"/>
      <c r="AB9" s="4">
        <f t="shared" si="0"/>
        <v>1027.6400000000001</v>
      </c>
      <c r="AC9" s="4">
        <f t="shared" si="1"/>
        <v>0</v>
      </c>
      <c r="AD9" s="4">
        <f t="shared" ca="1" si="2"/>
        <v>1289.8517956657552</v>
      </c>
      <c r="AE9" s="4">
        <f t="shared" ca="1" si="3"/>
        <v>0</v>
      </c>
      <c r="AF9" s="3" t="s">
        <v>609</v>
      </c>
      <c r="AH9" s="35" t="s">
        <v>618</v>
      </c>
      <c r="AI9" s="36">
        <f t="shared" si="4"/>
        <v>0</v>
      </c>
      <c r="AJ9" s="36">
        <f t="shared" si="5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54</v>
      </c>
      <c r="D10" s="3" t="s">
        <v>34</v>
      </c>
      <c r="E10" s="3" t="s">
        <v>25</v>
      </c>
      <c r="F10" s="3" t="s">
        <v>55</v>
      </c>
      <c r="G10" s="3" t="s">
        <v>25</v>
      </c>
      <c r="H10" s="3" t="s">
        <v>38</v>
      </c>
      <c r="I10" s="6">
        <v>44682</v>
      </c>
      <c r="J10" s="4">
        <v>87</v>
      </c>
      <c r="K10" s="4">
        <v>43.5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56</v>
      </c>
      <c r="R10" s="3">
        <v>0</v>
      </c>
      <c r="S10" s="3">
        <v>1</v>
      </c>
      <c r="T10" s="3">
        <v>0</v>
      </c>
      <c r="U10" s="3">
        <v>0</v>
      </c>
      <c r="V10" s="4">
        <f>IF(ISERROR(VLOOKUP($S$10,'TAR FIN'!$A$1:$O$85,15,0)),0,VLOOKUP($S$10,'TAR FIN'!$A$1:$O$85,15,0))</f>
        <v>22.34</v>
      </c>
      <c r="W10" s="4">
        <f>IF(ISERROR(VLOOKUP($T$10,'TAR FIN'!$A$1:$O$85,15,0)),0,VLOOKUP($T$10,'TAR FIN'!$A$1:$O$85,15,0))</f>
        <v>0</v>
      </c>
      <c r="X10" s="4">
        <f>IF(ISERROR(VLOOKUP($U$10,'TAR FIN'!$A$1:$O$85,15,0)),0,VLOOKUP($U$10,'TAR FIN'!$A$1:$O$85,15,0))</f>
        <v>0</v>
      </c>
      <c r="Y10" s="4">
        <f ca="1">('TUSD BE'!$AM$6+'TUSD BF'!$AM$6+'TUSD CVA'!$AM$6)*1</f>
        <v>28.040256427516418</v>
      </c>
      <c r="Z10" s="4">
        <f ca="1">('TUSD BE'!$AM$7+'TUSD BF'!$AM$7+'TUSD CVA'!$AM$7)*1</f>
        <v>100.14715657738388</v>
      </c>
      <c r="AA10" s="4"/>
      <c r="AB10" s="4">
        <f t="shared" si="0"/>
        <v>971.79</v>
      </c>
      <c r="AC10" s="4">
        <f t="shared" si="1"/>
        <v>0</v>
      </c>
      <c r="AD10" s="4">
        <f t="shared" ca="1" si="2"/>
        <v>1219.7511545969642</v>
      </c>
      <c r="AE10" s="4">
        <f t="shared" ca="1" si="3"/>
        <v>0</v>
      </c>
      <c r="AF10" s="3" t="s">
        <v>609</v>
      </c>
    </row>
    <row r="11" spans="1:36" ht="11.25" customHeight="1" x14ac:dyDescent="0.25">
      <c r="A11" s="3" t="s">
        <v>21</v>
      </c>
      <c r="B11" s="3" t="s">
        <v>35</v>
      </c>
      <c r="C11" s="3" t="s">
        <v>54</v>
      </c>
      <c r="D11" s="3" t="s">
        <v>34</v>
      </c>
      <c r="E11" s="3" t="s">
        <v>25</v>
      </c>
      <c r="F11" s="3" t="s">
        <v>55</v>
      </c>
      <c r="G11" s="3" t="s">
        <v>25</v>
      </c>
      <c r="H11" s="3" t="s">
        <v>38</v>
      </c>
      <c r="I11" s="6">
        <v>44713</v>
      </c>
      <c r="J11" s="4">
        <v>94</v>
      </c>
      <c r="K11" s="4">
        <v>47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56</v>
      </c>
      <c r="R11" s="3">
        <v>0</v>
      </c>
      <c r="S11" s="3">
        <v>1</v>
      </c>
      <c r="T11" s="3">
        <v>0</v>
      </c>
      <c r="U11" s="3">
        <v>0</v>
      </c>
      <c r="V11" s="4">
        <f>IF(ISERROR(VLOOKUP($S$11,'TAR FIN'!$A$1:$O$85,15,0)),0,VLOOKUP($S$11,'TAR FIN'!$A$1:$O$85,15,0))</f>
        <v>22.34</v>
      </c>
      <c r="W11" s="4">
        <f>IF(ISERROR(VLOOKUP($T$11,'TAR FIN'!$A$1:$O$85,15,0)),0,VLOOKUP($T$11,'TAR FIN'!$A$1:$O$85,15,0))</f>
        <v>0</v>
      </c>
      <c r="X11" s="4">
        <f>IF(ISERROR(VLOOKUP($U$11,'TAR FIN'!$A$1:$O$85,15,0)),0,VLOOKUP($U$11,'TAR FIN'!$A$1:$O$85,15,0))</f>
        <v>0</v>
      </c>
      <c r="Y11" s="4">
        <f ca="1">('TUSD BE'!$AM$6+'TUSD BF'!$AM$6+'TUSD CVA'!$AM$6)*1</f>
        <v>28.040256427516418</v>
      </c>
      <c r="Z11" s="4">
        <f ca="1">('TUSD BE'!$AM$7+'TUSD BF'!$AM$7+'TUSD CVA'!$AM$7)*1</f>
        <v>100.14715657738388</v>
      </c>
      <c r="AA11" s="4"/>
      <c r="AB11" s="4">
        <f t="shared" si="0"/>
        <v>1049.98</v>
      </c>
      <c r="AC11" s="4">
        <f t="shared" si="1"/>
        <v>0</v>
      </c>
      <c r="AD11" s="4">
        <f t="shared" ca="1" si="2"/>
        <v>1317.8920520932716</v>
      </c>
      <c r="AE11" s="4">
        <f t="shared" ca="1" si="3"/>
        <v>0</v>
      </c>
      <c r="AF11" s="3" t="s">
        <v>609</v>
      </c>
    </row>
    <row r="12" spans="1:36" ht="11.25" customHeight="1" x14ac:dyDescent="0.25">
      <c r="A12" s="3" t="s">
        <v>21</v>
      </c>
      <c r="B12" s="3" t="s">
        <v>35</v>
      </c>
      <c r="C12" s="3" t="s">
        <v>54</v>
      </c>
      <c r="D12" s="3" t="s">
        <v>34</v>
      </c>
      <c r="E12" s="3" t="s">
        <v>25</v>
      </c>
      <c r="F12" s="3" t="s">
        <v>55</v>
      </c>
      <c r="G12" s="3" t="s">
        <v>25</v>
      </c>
      <c r="H12" s="3" t="s">
        <v>38</v>
      </c>
      <c r="I12" s="6">
        <v>44743</v>
      </c>
      <c r="J12" s="4">
        <v>99</v>
      </c>
      <c r="K12" s="4">
        <v>49.5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56</v>
      </c>
      <c r="R12" s="3">
        <v>0</v>
      </c>
      <c r="S12" s="3">
        <v>1</v>
      </c>
      <c r="T12" s="3">
        <v>0</v>
      </c>
      <c r="U12" s="3">
        <v>0</v>
      </c>
      <c r="V12" s="4">
        <f>IF(ISERROR(VLOOKUP($S$12,'TAR FIN'!$A$1:$O$85,15,0)),0,VLOOKUP($S$12,'TAR FIN'!$A$1:$O$85,15,0))</f>
        <v>22.34</v>
      </c>
      <c r="W12" s="4">
        <f>IF(ISERROR(VLOOKUP($T$12,'TAR FIN'!$A$1:$O$85,15,0)),0,VLOOKUP($T$12,'TAR FIN'!$A$1:$O$85,15,0))</f>
        <v>0</v>
      </c>
      <c r="X12" s="4">
        <f>IF(ISERROR(VLOOKUP($U$12,'TAR FIN'!$A$1:$O$85,15,0)),0,VLOOKUP($U$12,'TAR FIN'!$A$1:$O$85,15,0))</f>
        <v>0</v>
      </c>
      <c r="Y12" s="4">
        <f ca="1">('TUSD BE'!$AM$6+'TUSD BF'!$AM$6+'TUSD CVA'!$AM$6)*1</f>
        <v>28.040256427516418</v>
      </c>
      <c r="Z12" s="4">
        <f ca="1">('TUSD BE'!$AM$7+'TUSD BF'!$AM$7+'TUSD CVA'!$AM$7)*1</f>
        <v>100.14715657738388</v>
      </c>
      <c r="AA12" s="4"/>
      <c r="AB12" s="4">
        <f t="shared" si="0"/>
        <v>1105.83</v>
      </c>
      <c r="AC12" s="4">
        <f t="shared" si="1"/>
        <v>0</v>
      </c>
      <c r="AD12" s="4">
        <f t="shared" ca="1" si="2"/>
        <v>1387.9926931620628</v>
      </c>
      <c r="AE12" s="4">
        <f t="shared" ca="1" si="3"/>
        <v>0</v>
      </c>
      <c r="AF12" s="3" t="s">
        <v>609</v>
      </c>
      <c r="AJ12" s="4">
        <f ca="1">SUM(AJ2:AJ11)</f>
        <v>1594243.7532052326</v>
      </c>
    </row>
    <row r="13" spans="1:36" ht="11.25" customHeight="1" x14ac:dyDescent="0.25">
      <c r="A13" s="3" t="s">
        <v>21</v>
      </c>
      <c r="B13" s="3" t="s">
        <v>35</v>
      </c>
      <c r="C13" s="3" t="s">
        <v>54</v>
      </c>
      <c r="D13" s="3" t="s">
        <v>34</v>
      </c>
      <c r="E13" s="3" t="s">
        <v>25</v>
      </c>
      <c r="F13" s="3" t="s">
        <v>55</v>
      </c>
      <c r="G13" s="3" t="s">
        <v>25</v>
      </c>
      <c r="H13" s="3" t="s">
        <v>38</v>
      </c>
      <c r="I13" s="6">
        <v>44774</v>
      </c>
      <c r="J13" s="4">
        <v>87</v>
      </c>
      <c r="K13" s="4">
        <v>43.5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56</v>
      </c>
      <c r="R13" s="3">
        <v>0</v>
      </c>
      <c r="S13" s="3">
        <v>1</v>
      </c>
      <c r="T13" s="3">
        <v>0</v>
      </c>
      <c r="U13" s="3">
        <v>0</v>
      </c>
      <c r="V13" s="4">
        <f>IF(ISERROR(VLOOKUP($S$13,'TAR FIN'!$A$1:$O$85,15,0)),0,VLOOKUP($S$13,'TAR FIN'!$A$1:$O$85,15,0))</f>
        <v>22.34</v>
      </c>
      <c r="W13" s="4">
        <f>IF(ISERROR(VLOOKUP($T$13,'TAR FIN'!$A$1:$O$85,15,0)),0,VLOOKUP($T$13,'TAR FIN'!$A$1:$O$85,15,0))</f>
        <v>0</v>
      </c>
      <c r="X13" s="4">
        <f>IF(ISERROR(VLOOKUP($U$13,'TAR FIN'!$A$1:$O$85,15,0)),0,VLOOKUP($U$13,'TAR FIN'!$A$1:$O$85,15,0))</f>
        <v>0</v>
      </c>
      <c r="Y13" s="4">
        <f ca="1">('TUSD BE'!$AM$6+'TUSD BF'!$AM$6+'TUSD CVA'!$AM$6)*1</f>
        <v>28.040256427516418</v>
      </c>
      <c r="Z13" s="4">
        <f ca="1">('TUSD BE'!$AM$7+'TUSD BF'!$AM$7+'TUSD CVA'!$AM$7)*1</f>
        <v>100.14715657738388</v>
      </c>
      <c r="AA13" s="4"/>
      <c r="AB13" s="4">
        <f t="shared" si="0"/>
        <v>971.79</v>
      </c>
      <c r="AC13" s="4">
        <f t="shared" si="1"/>
        <v>0</v>
      </c>
      <c r="AD13" s="4">
        <f t="shared" ca="1" si="2"/>
        <v>1219.7511545969642</v>
      </c>
      <c r="AE13" s="4">
        <f t="shared" ca="1" si="3"/>
        <v>0</v>
      </c>
      <c r="AF13" s="3" t="s">
        <v>609</v>
      </c>
    </row>
    <row r="14" spans="1:36" ht="11.25" customHeight="1" x14ac:dyDescent="0.25">
      <c r="A14" s="3" t="s">
        <v>21</v>
      </c>
      <c r="B14" s="3" t="s">
        <v>35</v>
      </c>
      <c r="C14" s="3" t="s">
        <v>54</v>
      </c>
      <c r="D14" s="3" t="s">
        <v>34</v>
      </c>
      <c r="E14" s="3" t="s">
        <v>25</v>
      </c>
      <c r="F14" s="3" t="s">
        <v>55</v>
      </c>
      <c r="G14" s="3" t="s">
        <v>25</v>
      </c>
      <c r="H14" s="3" t="s">
        <v>25</v>
      </c>
      <c r="I14" s="6">
        <v>44440</v>
      </c>
      <c r="J14" s="4">
        <v>0</v>
      </c>
      <c r="K14" s="4">
        <v>0</v>
      </c>
      <c r="L14" s="4">
        <v>45.453000000000003</v>
      </c>
      <c r="M14" s="4">
        <v>45.453000000000003</v>
      </c>
      <c r="N14" s="4">
        <v>0</v>
      </c>
      <c r="O14" s="4">
        <v>0</v>
      </c>
      <c r="P14" s="4">
        <v>1</v>
      </c>
      <c r="Q14" s="3" t="s">
        <v>56</v>
      </c>
      <c r="R14" s="3">
        <v>0</v>
      </c>
      <c r="S14" s="3">
        <v>0</v>
      </c>
      <c r="T14" s="3">
        <v>4</v>
      </c>
      <c r="U14" s="3">
        <v>0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56.92</v>
      </c>
      <c r="X14" s="4">
        <f>IF(ISERROR(VLOOKUP($U$14,'TAR FIN'!$A$1:$O$85,15,0)),0,VLOOKUP($U$14,'TAR FIN'!$A$1:$O$85,15,0))</f>
        <v>0</v>
      </c>
      <c r="Y14" s="4"/>
      <c r="Z14" s="4">
        <f ca="1">('TUSD BE'!$AM$7+'TUSD BF'!$AM$7+'TUSD CVA'!$AM$7)*1</f>
        <v>100.14715657738388</v>
      </c>
      <c r="AA14" s="4"/>
      <c r="AB14" s="4">
        <f t="shared" si="0"/>
        <v>0</v>
      </c>
      <c r="AC14" s="4">
        <f t="shared" si="1"/>
        <v>0</v>
      </c>
      <c r="AD14" s="4">
        <f t="shared" si="2"/>
        <v>0</v>
      </c>
      <c r="AE14" s="4">
        <f t="shared" ca="1" si="3"/>
        <v>0</v>
      </c>
      <c r="AF14" s="3" t="s">
        <v>609</v>
      </c>
    </row>
    <row r="15" spans="1:36" ht="11.25" customHeight="1" x14ac:dyDescent="0.25">
      <c r="A15" s="3" t="s">
        <v>21</v>
      </c>
      <c r="B15" s="3" t="s">
        <v>35</v>
      </c>
      <c r="C15" s="3" t="s">
        <v>54</v>
      </c>
      <c r="D15" s="3" t="s">
        <v>34</v>
      </c>
      <c r="E15" s="3" t="s">
        <v>25</v>
      </c>
      <c r="F15" s="3" t="s">
        <v>55</v>
      </c>
      <c r="G15" s="3" t="s">
        <v>25</v>
      </c>
      <c r="H15" s="3" t="s">
        <v>25</v>
      </c>
      <c r="I15" s="6">
        <v>44470</v>
      </c>
      <c r="J15" s="4">
        <v>0</v>
      </c>
      <c r="K15" s="4">
        <v>0</v>
      </c>
      <c r="L15" s="4">
        <v>46.8</v>
      </c>
      <c r="M15" s="4">
        <v>46.8</v>
      </c>
      <c r="N15" s="4">
        <v>0</v>
      </c>
      <c r="O15" s="4">
        <v>0</v>
      </c>
      <c r="P15" s="4">
        <v>1</v>
      </c>
      <c r="Q15" s="3" t="s">
        <v>56</v>
      </c>
      <c r="R15" s="3">
        <v>0</v>
      </c>
      <c r="S15" s="3">
        <v>0</v>
      </c>
      <c r="T15" s="3">
        <v>4</v>
      </c>
      <c r="U15" s="3">
        <v>0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56.92</v>
      </c>
      <c r="X15" s="4">
        <f>IF(ISERROR(VLOOKUP($U$15,'TAR FIN'!$A$1:$O$85,15,0)),0,VLOOKUP($U$15,'TAR FIN'!$A$1:$O$85,15,0))</f>
        <v>0</v>
      </c>
      <c r="Y15" s="4"/>
      <c r="Z15" s="4">
        <f ca="1">('TUSD BE'!$AM$7+'TUSD BF'!$AM$7+'TUSD CVA'!$AM$7)*1</f>
        <v>100.14715657738388</v>
      </c>
      <c r="AA15" s="4"/>
      <c r="AB15" s="4">
        <f t="shared" si="0"/>
        <v>0</v>
      </c>
      <c r="AC15" s="4">
        <f t="shared" si="1"/>
        <v>0</v>
      </c>
      <c r="AD15" s="4">
        <f t="shared" si="2"/>
        <v>0</v>
      </c>
      <c r="AE15" s="4">
        <f t="shared" ca="1" si="3"/>
        <v>0</v>
      </c>
      <c r="AF15" s="3" t="s">
        <v>609</v>
      </c>
    </row>
    <row r="16" spans="1:36" ht="11.25" customHeight="1" x14ac:dyDescent="0.25">
      <c r="A16" s="3" t="s">
        <v>21</v>
      </c>
      <c r="B16" s="3" t="s">
        <v>35</v>
      </c>
      <c r="C16" s="3" t="s">
        <v>54</v>
      </c>
      <c r="D16" s="3" t="s">
        <v>34</v>
      </c>
      <c r="E16" s="3" t="s">
        <v>25</v>
      </c>
      <c r="F16" s="3" t="s">
        <v>55</v>
      </c>
      <c r="G16" s="3" t="s">
        <v>25</v>
      </c>
      <c r="H16" s="3" t="s">
        <v>25</v>
      </c>
      <c r="I16" s="6">
        <v>44501</v>
      </c>
      <c r="J16" s="4">
        <v>0</v>
      </c>
      <c r="K16" s="4">
        <v>0</v>
      </c>
      <c r="L16" s="4">
        <v>47.036000000000001</v>
      </c>
      <c r="M16" s="4">
        <v>47.036000000000001</v>
      </c>
      <c r="N16" s="4">
        <v>0</v>
      </c>
      <c r="O16" s="4">
        <v>0</v>
      </c>
      <c r="P16" s="4">
        <v>1</v>
      </c>
      <c r="Q16" s="3" t="s">
        <v>56</v>
      </c>
      <c r="R16" s="3">
        <v>0</v>
      </c>
      <c r="S16" s="3">
        <v>0</v>
      </c>
      <c r="T16" s="3">
        <v>4</v>
      </c>
      <c r="U16" s="3">
        <v>0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56.92</v>
      </c>
      <c r="X16" s="4">
        <f>IF(ISERROR(VLOOKUP($U$16,'TAR FIN'!$A$1:$O$85,15,0)),0,VLOOKUP($U$16,'TAR FIN'!$A$1:$O$85,15,0))</f>
        <v>0</v>
      </c>
      <c r="Y16" s="4"/>
      <c r="Z16" s="4">
        <f ca="1">('TUSD BE'!$AM$7+'TUSD BF'!$AM$7+'TUSD CVA'!$AM$7)*1</f>
        <v>100.14715657738388</v>
      </c>
      <c r="AA16" s="4"/>
      <c r="AB16" s="4">
        <f t="shared" si="0"/>
        <v>0</v>
      </c>
      <c r="AC16" s="4">
        <f t="shared" si="1"/>
        <v>0</v>
      </c>
      <c r="AD16" s="4">
        <f t="shared" si="2"/>
        <v>0</v>
      </c>
      <c r="AE16" s="4">
        <f t="shared" ca="1" si="3"/>
        <v>0</v>
      </c>
      <c r="AF16" s="3" t="s">
        <v>609</v>
      </c>
    </row>
    <row r="17" spans="1:32" ht="11.25" customHeight="1" x14ac:dyDescent="0.25">
      <c r="A17" s="3" t="s">
        <v>21</v>
      </c>
      <c r="B17" s="3" t="s">
        <v>35</v>
      </c>
      <c r="C17" s="3" t="s">
        <v>54</v>
      </c>
      <c r="D17" s="3" t="s">
        <v>34</v>
      </c>
      <c r="E17" s="3" t="s">
        <v>25</v>
      </c>
      <c r="F17" s="3" t="s">
        <v>55</v>
      </c>
      <c r="G17" s="3" t="s">
        <v>25</v>
      </c>
      <c r="H17" s="3" t="s">
        <v>25</v>
      </c>
      <c r="I17" s="6">
        <v>44531</v>
      </c>
      <c r="J17" s="4">
        <v>0</v>
      </c>
      <c r="K17" s="4">
        <v>0</v>
      </c>
      <c r="L17" s="4">
        <v>48.454999999999998</v>
      </c>
      <c r="M17" s="4">
        <v>48.454999999999998</v>
      </c>
      <c r="N17" s="4">
        <v>0</v>
      </c>
      <c r="O17" s="4">
        <v>0</v>
      </c>
      <c r="P17" s="4">
        <v>1</v>
      </c>
      <c r="Q17" s="3" t="s">
        <v>56</v>
      </c>
      <c r="R17" s="3">
        <v>0</v>
      </c>
      <c r="S17" s="3">
        <v>0</v>
      </c>
      <c r="T17" s="3">
        <v>4</v>
      </c>
      <c r="U17" s="3">
        <v>0</v>
      </c>
      <c r="V17" s="4">
        <f>IF(ISERROR(VLOOKUP($S$17,'TAR FIN'!$A$1:$O$85,15,0)),0,VLOOKUP($S$17,'TAR FIN'!$A$1:$O$85,15,0))</f>
        <v>0</v>
      </c>
      <c r="W17" s="4">
        <f>IF(ISERROR(VLOOKUP($T$17,'TAR FIN'!$A$1:$O$85,15,0)),0,VLOOKUP($T$17,'TAR FIN'!$A$1:$O$85,15,0))</f>
        <v>56.92</v>
      </c>
      <c r="X17" s="4">
        <f>IF(ISERROR(VLOOKUP($U$17,'TAR FIN'!$A$1:$O$85,15,0)),0,VLOOKUP($U$17,'TAR FIN'!$A$1:$O$85,15,0))</f>
        <v>0</v>
      </c>
      <c r="Y17" s="4"/>
      <c r="Z17" s="4">
        <f ca="1">('TUSD BE'!$AM$7+'TUSD BF'!$AM$7+'TUSD CVA'!$AM$7)*1</f>
        <v>100.14715657738388</v>
      </c>
      <c r="AA17" s="4"/>
      <c r="AB17" s="4">
        <f t="shared" si="0"/>
        <v>0</v>
      </c>
      <c r="AC17" s="4">
        <f t="shared" si="1"/>
        <v>0</v>
      </c>
      <c r="AD17" s="4">
        <f t="shared" si="2"/>
        <v>0</v>
      </c>
      <c r="AE17" s="4">
        <f t="shared" ca="1" si="3"/>
        <v>0</v>
      </c>
      <c r="AF17" s="3" t="s">
        <v>609</v>
      </c>
    </row>
    <row r="18" spans="1:32" ht="11.25" customHeight="1" x14ac:dyDescent="0.25">
      <c r="A18" s="3" t="s">
        <v>21</v>
      </c>
      <c r="B18" s="3" t="s">
        <v>35</v>
      </c>
      <c r="C18" s="3" t="s">
        <v>54</v>
      </c>
      <c r="D18" s="3" t="s">
        <v>34</v>
      </c>
      <c r="E18" s="3" t="s">
        <v>25</v>
      </c>
      <c r="F18" s="3" t="s">
        <v>55</v>
      </c>
      <c r="G18" s="3" t="s">
        <v>25</v>
      </c>
      <c r="H18" s="3" t="s">
        <v>25</v>
      </c>
      <c r="I18" s="6">
        <v>44562</v>
      </c>
      <c r="J18" s="4">
        <v>0</v>
      </c>
      <c r="K18" s="4">
        <v>0</v>
      </c>
      <c r="L18" s="4">
        <v>46.819000000000003</v>
      </c>
      <c r="M18" s="4">
        <v>46.819000000000003</v>
      </c>
      <c r="N18" s="4">
        <v>0</v>
      </c>
      <c r="O18" s="4">
        <v>0</v>
      </c>
      <c r="P18" s="4">
        <v>1</v>
      </c>
      <c r="Q18" s="3" t="s">
        <v>56</v>
      </c>
      <c r="R18" s="3">
        <v>0</v>
      </c>
      <c r="S18" s="3">
        <v>0</v>
      </c>
      <c r="T18" s="3">
        <v>4</v>
      </c>
      <c r="U18" s="3">
        <v>0</v>
      </c>
      <c r="V18" s="4">
        <f>IF(ISERROR(VLOOKUP($S$18,'TAR FIN'!$A$1:$O$85,15,0)),0,VLOOKUP($S$18,'TAR FIN'!$A$1:$O$85,15,0))</f>
        <v>0</v>
      </c>
      <c r="W18" s="4">
        <f>IF(ISERROR(VLOOKUP($T$18,'TAR FIN'!$A$1:$O$85,15,0)),0,VLOOKUP($T$18,'TAR FIN'!$A$1:$O$85,15,0))</f>
        <v>56.92</v>
      </c>
      <c r="X18" s="4">
        <f>IF(ISERROR(VLOOKUP($U$18,'TAR FIN'!$A$1:$O$85,15,0)),0,VLOOKUP($U$18,'TAR FIN'!$A$1:$O$85,15,0))</f>
        <v>0</v>
      </c>
      <c r="Y18" s="4"/>
      <c r="Z18" s="4">
        <f ca="1">('TUSD BE'!$AM$7+'TUSD BF'!$AM$7+'TUSD CVA'!$AM$7)*1</f>
        <v>100.14715657738388</v>
      </c>
      <c r="AA18" s="4"/>
      <c r="AB18" s="4">
        <f t="shared" si="0"/>
        <v>0</v>
      </c>
      <c r="AC18" s="4">
        <f t="shared" si="1"/>
        <v>0</v>
      </c>
      <c r="AD18" s="4">
        <f t="shared" si="2"/>
        <v>0</v>
      </c>
      <c r="AE18" s="4">
        <f t="shared" ca="1" si="3"/>
        <v>0</v>
      </c>
      <c r="AF18" s="3" t="s">
        <v>609</v>
      </c>
    </row>
    <row r="19" spans="1:32" ht="11.25" customHeight="1" x14ac:dyDescent="0.25">
      <c r="A19" s="3" t="s">
        <v>21</v>
      </c>
      <c r="B19" s="3" t="s">
        <v>35</v>
      </c>
      <c r="C19" s="3" t="s">
        <v>54</v>
      </c>
      <c r="D19" s="3" t="s">
        <v>34</v>
      </c>
      <c r="E19" s="3" t="s">
        <v>25</v>
      </c>
      <c r="F19" s="3" t="s">
        <v>55</v>
      </c>
      <c r="G19" s="3" t="s">
        <v>25</v>
      </c>
      <c r="H19" s="3" t="s">
        <v>25</v>
      </c>
      <c r="I19" s="6">
        <v>44593</v>
      </c>
      <c r="J19" s="4">
        <v>0</v>
      </c>
      <c r="K19" s="4">
        <v>0</v>
      </c>
      <c r="L19" s="4">
        <v>42.377000000000002</v>
      </c>
      <c r="M19" s="4">
        <v>42.377000000000002</v>
      </c>
      <c r="N19" s="4">
        <v>0</v>
      </c>
      <c r="O19" s="4">
        <v>0</v>
      </c>
      <c r="P19" s="4">
        <v>1</v>
      </c>
      <c r="Q19" s="3" t="s">
        <v>56</v>
      </c>
      <c r="R19" s="3">
        <v>0</v>
      </c>
      <c r="S19" s="3">
        <v>0</v>
      </c>
      <c r="T19" s="3">
        <v>4</v>
      </c>
      <c r="U19" s="3">
        <v>0</v>
      </c>
      <c r="V19" s="4">
        <f>IF(ISERROR(VLOOKUP($S$19,'TAR FIN'!$A$1:$O$85,15,0)),0,VLOOKUP($S$19,'TAR FIN'!$A$1:$O$85,15,0))</f>
        <v>0</v>
      </c>
      <c r="W19" s="4">
        <f>IF(ISERROR(VLOOKUP($T$19,'TAR FIN'!$A$1:$O$85,15,0)),0,VLOOKUP($T$19,'TAR FIN'!$A$1:$O$85,15,0))</f>
        <v>56.92</v>
      </c>
      <c r="X19" s="4">
        <f>IF(ISERROR(VLOOKUP($U$19,'TAR FIN'!$A$1:$O$85,15,0)),0,VLOOKUP($U$19,'TAR FIN'!$A$1:$O$85,15,0))</f>
        <v>0</v>
      </c>
      <c r="Y19" s="4"/>
      <c r="Z19" s="4">
        <f ca="1">('TUSD BE'!$AM$7+'TUSD BF'!$AM$7+'TUSD CVA'!$AM$7)*1</f>
        <v>100.14715657738388</v>
      </c>
      <c r="AA19" s="4"/>
      <c r="AB19" s="4">
        <f t="shared" si="0"/>
        <v>0</v>
      </c>
      <c r="AC19" s="4">
        <f t="shared" si="1"/>
        <v>0</v>
      </c>
      <c r="AD19" s="4">
        <f t="shared" si="2"/>
        <v>0</v>
      </c>
      <c r="AE19" s="4">
        <f t="shared" ca="1" si="3"/>
        <v>0</v>
      </c>
      <c r="AF19" s="3" t="s">
        <v>609</v>
      </c>
    </row>
    <row r="20" spans="1:32" ht="11.25" customHeight="1" x14ac:dyDescent="0.25">
      <c r="A20" s="3" t="s">
        <v>21</v>
      </c>
      <c r="B20" s="3" t="s">
        <v>35</v>
      </c>
      <c r="C20" s="3" t="s">
        <v>54</v>
      </c>
      <c r="D20" s="3" t="s">
        <v>34</v>
      </c>
      <c r="E20" s="3" t="s">
        <v>25</v>
      </c>
      <c r="F20" s="3" t="s">
        <v>55</v>
      </c>
      <c r="G20" s="3" t="s">
        <v>25</v>
      </c>
      <c r="H20" s="3" t="s">
        <v>25</v>
      </c>
      <c r="I20" s="6">
        <v>44621</v>
      </c>
      <c r="J20" s="4">
        <v>0</v>
      </c>
      <c r="K20" s="4">
        <v>0</v>
      </c>
      <c r="L20" s="4">
        <v>49.387</v>
      </c>
      <c r="M20" s="4">
        <v>49.387</v>
      </c>
      <c r="N20" s="4">
        <v>0</v>
      </c>
      <c r="O20" s="4">
        <v>0</v>
      </c>
      <c r="P20" s="4">
        <v>1</v>
      </c>
      <c r="Q20" s="3" t="s">
        <v>56</v>
      </c>
      <c r="R20" s="3">
        <v>0</v>
      </c>
      <c r="S20" s="3">
        <v>0</v>
      </c>
      <c r="T20" s="3">
        <v>4</v>
      </c>
      <c r="U20" s="3">
        <v>0</v>
      </c>
      <c r="V20" s="4">
        <f>IF(ISERROR(VLOOKUP($S$20,'TAR FIN'!$A$1:$O$85,15,0)),0,VLOOKUP($S$20,'TAR FIN'!$A$1:$O$85,15,0))</f>
        <v>0</v>
      </c>
      <c r="W20" s="4">
        <f>IF(ISERROR(VLOOKUP($T$20,'TAR FIN'!$A$1:$O$85,15,0)),0,VLOOKUP($T$20,'TAR FIN'!$A$1:$O$85,15,0))</f>
        <v>56.92</v>
      </c>
      <c r="X20" s="4">
        <f>IF(ISERROR(VLOOKUP($U$20,'TAR FIN'!$A$1:$O$85,15,0)),0,VLOOKUP($U$20,'TAR FIN'!$A$1:$O$85,15,0))</f>
        <v>0</v>
      </c>
      <c r="Y20" s="4"/>
      <c r="Z20" s="4">
        <f ca="1">('TUSD BE'!$AM$7+'TUSD BF'!$AM$7+'TUSD CVA'!$AM$7)*1</f>
        <v>100.14715657738388</v>
      </c>
      <c r="AA20" s="4"/>
      <c r="AB20" s="4">
        <f t="shared" si="0"/>
        <v>0</v>
      </c>
      <c r="AC20" s="4">
        <f t="shared" si="1"/>
        <v>0</v>
      </c>
      <c r="AD20" s="4">
        <f t="shared" si="2"/>
        <v>0</v>
      </c>
      <c r="AE20" s="4">
        <f t="shared" ca="1" si="3"/>
        <v>0</v>
      </c>
      <c r="AF20" s="3" t="s">
        <v>609</v>
      </c>
    </row>
    <row r="21" spans="1:32" ht="11.25" customHeight="1" x14ac:dyDescent="0.25">
      <c r="A21" s="3" t="s">
        <v>21</v>
      </c>
      <c r="B21" s="3" t="s">
        <v>35</v>
      </c>
      <c r="C21" s="3" t="s">
        <v>54</v>
      </c>
      <c r="D21" s="3" t="s">
        <v>34</v>
      </c>
      <c r="E21" s="3" t="s">
        <v>25</v>
      </c>
      <c r="F21" s="3" t="s">
        <v>55</v>
      </c>
      <c r="G21" s="3" t="s">
        <v>25</v>
      </c>
      <c r="H21" s="3" t="s">
        <v>25</v>
      </c>
      <c r="I21" s="6">
        <v>44652</v>
      </c>
      <c r="J21" s="4">
        <v>0</v>
      </c>
      <c r="K21" s="4">
        <v>0</v>
      </c>
      <c r="L21" s="4">
        <v>47.712000000000003</v>
      </c>
      <c r="M21" s="4">
        <v>47.712000000000003</v>
      </c>
      <c r="N21" s="4">
        <v>0</v>
      </c>
      <c r="O21" s="4">
        <v>0</v>
      </c>
      <c r="P21" s="4">
        <v>1</v>
      </c>
      <c r="Q21" s="3" t="s">
        <v>56</v>
      </c>
      <c r="R21" s="3">
        <v>0</v>
      </c>
      <c r="S21" s="3">
        <v>0</v>
      </c>
      <c r="T21" s="3">
        <v>4</v>
      </c>
      <c r="U21" s="3">
        <v>0</v>
      </c>
      <c r="V21" s="4">
        <f>IF(ISERROR(VLOOKUP($S$21,'TAR FIN'!$A$1:$O$85,15,0)),0,VLOOKUP($S$21,'TAR FIN'!$A$1:$O$85,15,0))</f>
        <v>0</v>
      </c>
      <c r="W21" s="4">
        <f>IF(ISERROR(VLOOKUP($T$21,'TAR FIN'!$A$1:$O$85,15,0)),0,VLOOKUP($T$21,'TAR FIN'!$A$1:$O$85,15,0))</f>
        <v>56.92</v>
      </c>
      <c r="X21" s="4">
        <f>IF(ISERROR(VLOOKUP($U$21,'TAR FIN'!$A$1:$O$85,15,0)),0,VLOOKUP($U$21,'TAR FIN'!$A$1:$O$85,15,0))</f>
        <v>0</v>
      </c>
      <c r="Y21" s="4"/>
      <c r="Z21" s="4">
        <f ca="1">('TUSD BE'!$AM$7+'TUSD BF'!$AM$7+'TUSD CVA'!$AM$7)*1</f>
        <v>100.14715657738388</v>
      </c>
      <c r="AA21" s="4"/>
      <c r="AB21" s="4">
        <f t="shared" si="0"/>
        <v>0</v>
      </c>
      <c r="AC21" s="4">
        <f t="shared" si="1"/>
        <v>0</v>
      </c>
      <c r="AD21" s="4">
        <f t="shared" si="2"/>
        <v>0</v>
      </c>
      <c r="AE21" s="4">
        <f t="shared" ca="1" si="3"/>
        <v>0</v>
      </c>
      <c r="AF21" s="3" t="s">
        <v>609</v>
      </c>
    </row>
    <row r="22" spans="1:32" ht="11.25" customHeight="1" x14ac:dyDescent="0.25">
      <c r="A22" s="3" t="s">
        <v>21</v>
      </c>
      <c r="B22" s="3" t="s">
        <v>35</v>
      </c>
      <c r="C22" s="3" t="s">
        <v>54</v>
      </c>
      <c r="D22" s="3" t="s">
        <v>34</v>
      </c>
      <c r="E22" s="3" t="s">
        <v>25</v>
      </c>
      <c r="F22" s="3" t="s">
        <v>55</v>
      </c>
      <c r="G22" s="3" t="s">
        <v>25</v>
      </c>
      <c r="H22" s="3" t="s">
        <v>25</v>
      </c>
      <c r="I22" s="6">
        <v>44682</v>
      </c>
      <c r="J22" s="4">
        <v>0</v>
      </c>
      <c r="K22" s="4">
        <v>0</v>
      </c>
      <c r="L22" s="4">
        <v>47.343000000000004</v>
      </c>
      <c r="M22" s="4">
        <v>47.343000000000004</v>
      </c>
      <c r="N22" s="4">
        <v>0</v>
      </c>
      <c r="O22" s="4">
        <v>0</v>
      </c>
      <c r="P22" s="4">
        <v>1</v>
      </c>
      <c r="Q22" s="3" t="s">
        <v>56</v>
      </c>
      <c r="R22" s="3">
        <v>0</v>
      </c>
      <c r="S22" s="3">
        <v>0</v>
      </c>
      <c r="T22" s="3">
        <v>4</v>
      </c>
      <c r="U22" s="3">
        <v>0</v>
      </c>
      <c r="V22" s="4">
        <f>IF(ISERROR(VLOOKUP($S$22,'TAR FIN'!$A$1:$O$85,15,0)),0,VLOOKUP($S$22,'TAR FIN'!$A$1:$O$85,15,0))</f>
        <v>0</v>
      </c>
      <c r="W22" s="4">
        <f>IF(ISERROR(VLOOKUP($T$22,'TAR FIN'!$A$1:$O$85,15,0)),0,VLOOKUP($T$22,'TAR FIN'!$A$1:$O$85,15,0))</f>
        <v>56.92</v>
      </c>
      <c r="X22" s="4">
        <f>IF(ISERROR(VLOOKUP($U$22,'TAR FIN'!$A$1:$O$85,15,0)),0,VLOOKUP($U$22,'TAR FIN'!$A$1:$O$85,15,0))</f>
        <v>0</v>
      </c>
      <c r="Y22" s="4"/>
      <c r="Z22" s="4">
        <f ca="1">('TUSD BE'!$AM$7+'TUSD BF'!$AM$7+'TUSD CVA'!$AM$7)*1</f>
        <v>100.14715657738388</v>
      </c>
      <c r="AA22" s="4"/>
      <c r="AB22" s="4">
        <f t="shared" si="0"/>
        <v>0</v>
      </c>
      <c r="AC22" s="4">
        <f t="shared" si="1"/>
        <v>0</v>
      </c>
      <c r="AD22" s="4">
        <f t="shared" si="2"/>
        <v>0</v>
      </c>
      <c r="AE22" s="4">
        <f t="shared" ca="1" si="3"/>
        <v>0</v>
      </c>
      <c r="AF22" s="3" t="s">
        <v>609</v>
      </c>
    </row>
    <row r="23" spans="1:32" ht="11.25" customHeight="1" x14ac:dyDescent="0.25">
      <c r="A23" s="3" t="s">
        <v>21</v>
      </c>
      <c r="B23" s="3" t="s">
        <v>35</v>
      </c>
      <c r="C23" s="3" t="s">
        <v>54</v>
      </c>
      <c r="D23" s="3" t="s">
        <v>34</v>
      </c>
      <c r="E23" s="3" t="s">
        <v>25</v>
      </c>
      <c r="F23" s="3" t="s">
        <v>55</v>
      </c>
      <c r="G23" s="3" t="s">
        <v>25</v>
      </c>
      <c r="H23" s="3" t="s">
        <v>25</v>
      </c>
      <c r="I23" s="6">
        <v>44713</v>
      </c>
      <c r="J23" s="4">
        <v>0</v>
      </c>
      <c r="K23" s="4">
        <v>0</v>
      </c>
      <c r="L23" s="4">
        <v>45.942999999999998</v>
      </c>
      <c r="M23" s="4">
        <v>45.942999999999998</v>
      </c>
      <c r="N23" s="4">
        <v>0</v>
      </c>
      <c r="O23" s="4">
        <v>0</v>
      </c>
      <c r="P23" s="4">
        <v>1</v>
      </c>
      <c r="Q23" s="3" t="s">
        <v>56</v>
      </c>
      <c r="R23" s="3">
        <v>0</v>
      </c>
      <c r="S23" s="3">
        <v>0</v>
      </c>
      <c r="T23" s="3">
        <v>4</v>
      </c>
      <c r="U23" s="3">
        <v>0</v>
      </c>
      <c r="V23" s="4">
        <f>IF(ISERROR(VLOOKUP($S$23,'TAR FIN'!$A$1:$O$85,15,0)),0,VLOOKUP($S$23,'TAR FIN'!$A$1:$O$85,15,0))</f>
        <v>0</v>
      </c>
      <c r="W23" s="4">
        <f>IF(ISERROR(VLOOKUP($T$23,'TAR FIN'!$A$1:$O$85,15,0)),0,VLOOKUP($T$23,'TAR FIN'!$A$1:$O$85,15,0))</f>
        <v>56.92</v>
      </c>
      <c r="X23" s="4">
        <f>IF(ISERROR(VLOOKUP($U$23,'TAR FIN'!$A$1:$O$85,15,0)),0,VLOOKUP($U$23,'TAR FIN'!$A$1:$O$85,15,0))</f>
        <v>0</v>
      </c>
      <c r="Y23" s="4"/>
      <c r="Z23" s="4">
        <f ca="1">('TUSD BE'!$AM$7+'TUSD BF'!$AM$7+'TUSD CVA'!$AM$7)*1</f>
        <v>100.14715657738388</v>
      </c>
      <c r="AA23" s="4"/>
      <c r="AB23" s="4">
        <f t="shared" si="0"/>
        <v>0</v>
      </c>
      <c r="AC23" s="4">
        <f t="shared" si="1"/>
        <v>0</v>
      </c>
      <c r="AD23" s="4">
        <f t="shared" si="2"/>
        <v>0</v>
      </c>
      <c r="AE23" s="4">
        <f t="shared" ca="1" si="3"/>
        <v>0</v>
      </c>
      <c r="AF23" s="3" t="s">
        <v>609</v>
      </c>
    </row>
    <row r="24" spans="1:32" ht="11.25" customHeight="1" x14ac:dyDescent="0.25">
      <c r="A24" s="3" t="s">
        <v>21</v>
      </c>
      <c r="B24" s="3" t="s">
        <v>35</v>
      </c>
      <c r="C24" s="3" t="s">
        <v>54</v>
      </c>
      <c r="D24" s="3" t="s">
        <v>34</v>
      </c>
      <c r="E24" s="3" t="s">
        <v>25</v>
      </c>
      <c r="F24" s="3" t="s">
        <v>55</v>
      </c>
      <c r="G24" s="3" t="s">
        <v>25</v>
      </c>
      <c r="H24" s="3" t="s">
        <v>25</v>
      </c>
      <c r="I24" s="6">
        <v>44743</v>
      </c>
      <c r="J24" s="4">
        <v>0</v>
      </c>
      <c r="K24" s="4">
        <v>0</v>
      </c>
      <c r="L24" s="4">
        <v>47.923999999999999</v>
      </c>
      <c r="M24" s="4">
        <v>47.923999999999999</v>
      </c>
      <c r="N24" s="4">
        <v>0</v>
      </c>
      <c r="O24" s="4">
        <v>0</v>
      </c>
      <c r="P24" s="4">
        <v>1</v>
      </c>
      <c r="Q24" s="3" t="s">
        <v>56</v>
      </c>
      <c r="R24" s="3">
        <v>0</v>
      </c>
      <c r="S24" s="3">
        <v>0</v>
      </c>
      <c r="T24" s="3">
        <v>4</v>
      </c>
      <c r="U24" s="3">
        <v>0</v>
      </c>
      <c r="V24" s="4">
        <f>IF(ISERROR(VLOOKUP($S$24,'TAR FIN'!$A$1:$O$85,15,0)),0,VLOOKUP($S$24,'TAR FIN'!$A$1:$O$85,15,0))</f>
        <v>0</v>
      </c>
      <c r="W24" s="4">
        <f>IF(ISERROR(VLOOKUP($T$24,'TAR FIN'!$A$1:$O$85,15,0)),0,VLOOKUP($T$24,'TAR FIN'!$A$1:$O$85,15,0))</f>
        <v>56.92</v>
      </c>
      <c r="X24" s="4">
        <f>IF(ISERROR(VLOOKUP($U$24,'TAR FIN'!$A$1:$O$85,15,0)),0,VLOOKUP($U$24,'TAR FIN'!$A$1:$O$85,15,0))</f>
        <v>0</v>
      </c>
      <c r="Y24" s="4"/>
      <c r="Z24" s="4">
        <f ca="1">('TUSD BE'!$AM$7+'TUSD BF'!$AM$7+'TUSD CVA'!$AM$7)*1</f>
        <v>100.14715657738388</v>
      </c>
      <c r="AA24" s="4"/>
      <c r="AB24" s="4">
        <f t="shared" si="0"/>
        <v>0</v>
      </c>
      <c r="AC24" s="4">
        <f t="shared" si="1"/>
        <v>0</v>
      </c>
      <c r="AD24" s="4">
        <f t="shared" si="2"/>
        <v>0</v>
      </c>
      <c r="AE24" s="4">
        <f t="shared" ca="1" si="3"/>
        <v>0</v>
      </c>
      <c r="AF24" s="3" t="s">
        <v>609</v>
      </c>
    </row>
    <row r="25" spans="1:32" ht="11.25" customHeight="1" x14ac:dyDescent="0.25">
      <c r="A25" s="3" t="s">
        <v>21</v>
      </c>
      <c r="B25" s="3" t="s">
        <v>35</v>
      </c>
      <c r="C25" s="3" t="s">
        <v>54</v>
      </c>
      <c r="D25" s="3" t="s">
        <v>34</v>
      </c>
      <c r="E25" s="3" t="s">
        <v>25</v>
      </c>
      <c r="F25" s="3" t="s">
        <v>55</v>
      </c>
      <c r="G25" s="3" t="s">
        <v>25</v>
      </c>
      <c r="H25" s="3" t="s">
        <v>25</v>
      </c>
      <c r="I25" s="6">
        <v>44774</v>
      </c>
      <c r="J25" s="4">
        <v>0</v>
      </c>
      <c r="K25" s="4">
        <v>0</v>
      </c>
      <c r="L25" s="4">
        <v>47.061</v>
      </c>
      <c r="M25" s="4">
        <v>47.061</v>
      </c>
      <c r="N25" s="4">
        <v>0</v>
      </c>
      <c r="O25" s="4">
        <v>0</v>
      </c>
      <c r="P25" s="4">
        <v>1</v>
      </c>
      <c r="Q25" s="3" t="s">
        <v>56</v>
      </c>
      <c r="R25" s="3">
        <v>0</v>
      </c>
      <c r="S25" s="3">
        <v>0</v>
      </c>
      <c r="T25" s="3">
        <v>4</v>
      </c>
      <c r="U25" s="3">
        <v>0</v>
      </c>
      <c r="V25" s="4">
        <f>IF(ISERROR(VLOOKUP($S$25,'TAR FIN'!$A$1:$O$85,15,0)),0,VLOOKUP($S$25,'TAR FIN'!$A$1:$O$85,15,0))</f>
        <v>0</v>
      </c>
      <c r="W25" s="4">
        <f>IF(ISERROR(VLOOKUP($T$25,'TAR FIN'!$A$1:$O$85,15,0)),0,VLOOKUP($T$25,'TAR FIN'!$A$1:$O$85,15,0))</f>
        <v>56.92</v>
      </c>
      <c r="X25" s="4">
        <f>IF(ISERROR(VLOOKUP($U$25,'TAR FIN'!$A$1:$O$85,15,0)),0,VLOOKUP($U$25,'TAR FIN'!$A$1:$O$85,15,0))</f>
        <v>0</v>
      </c>
      <c r="Y25" s="4"/>
      <c r="Z25" s="4">
        <f ca="1">('TUSD BE'!$AM$7+'TUSD BF'!$AM$7+'TUSD CVA'!$AM$7)*1</f>
        <v>100.14715657738388</v>
      </c>
      <c r="AA25" s="4"/>
      <c r="AB25" s="4">
        <f t="shared" si="0"/>
        <v>0</v>
      </c>
      <c r="AC25" s="4">
        <f t="shared" si="1"/>
        <v>0</v>
      </c>
      <c r="AD25" s="4">
        <f t="shared" si="2"/>
        <v>0</v>
      </c>
      <c r="AE25" s="4">
        <f t="shared" ca="1" si="3"/>
        <v>0</v>
      </c>
      <c r="AF25" s="3" t="s">
        <v>609</v>
      </c>
    </row>
    <row r="26" spans="1:32" ht="11.25" customHeight="1" x14ac:dyDescent="0.25">
      <c r="A26" s="3" t="s">
        <v>21</v>
      </c>
      <c r="B26" s="3" t="s">
        <v>35</v>
      </c>
      <c r="C26" s="3" t="s">
        <v>54</v>
      </c>
      <c r="D26" s="3" t="s">
        <v>34</v>
      </c>
      <c r="E26" s="3" t="s">
        <v>25</v>
      </c>
      <c r="F26" s="3" t="s">
        <v>55</v>
      </c>
      <c r="G26" s="3" t="s">
        <v>25</v>
      </c>
      <c r="H26" s="3" t="s">
        <v>37</v>
      </c>
      <c r="I26" s="6">
        <v>44440</v>
      </c>
      <c r="J26" s="4">
        <v>87</v>
      </c>
      <c r="K26" s="4">
        <v>43.5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56</v>
      </c>
      <c r="R26" s="3">
        <v>0</v>
      </c>
      <c r="S26" s="3">
        <v>3</v>
      </c>
      <c r="T26" s="3">
        <v>0</v>
      </c>
      <c r="U26" s="3">
        <v>0</v>
      </c>
      <c r="V26" s="4">
        <f>IF(ISERROR(VLOOKUP($S$26,'TAR FIN'!$A$1:$O$85,15,0)),0,VLOOKUP($S$26,'TAR FIN'!$A$1:$O$85,15,0))</f>
        <v>78.180000000000007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BE'!$AM$5+'TUSD BF'!$AM$5+'TUSD CVA'!$AM$5)*1</f>
        <v>87.613035401223812</v>
      </c>
      <c r="Z26" s="4">
        <f ca="1">('TUSD BE'!$AM$7+'TUSD BF'!$AM$7+'TUSD CVA'!$AM$7)*1</f>
        <v>100.14715657738388</v>
      </c>
      <c r="AA26" s="4"/>
      <c r="AB26" s="4">
        <f t="shared" si="0"/>
        <v>3400.8300000000004</v>
      </c>
      <c r="AC26" s="4">
        <f t="shared" si="1"/>
        <v>0</v>
      </c>
      <c r="AD26" s="4">
        <f t="shared" ca="1" si="2"/>
        <v>3811.1670399532359</v>
      </c>
      <c r="AE26" s="4">
        <f t="shared" ca="1" si="3"/>
        <v>0</v>
      </c>
      <c r="AF26" s="3" t="s">
        <v>609</v>
      </c>
    </row>
    <row r="27" spans="1:32" ht="11.25" customHeight="1" x14ac:dyDescent="0.25">
      <c r="A27" s="3" t="s">
        <v>21</v>
      </c>
      <c r="B27" s="3" t="s">
        <v>35</v>
      </c>
      <c r="C27" s="3" t="s">
        <v>54</v>
      </c>
      <c r="D27" s="3" t="s">
        <v>34</v>
      </c>
      <c r="E27" s="3" t="s">
        <v>25</v>
      </c>
      <c r="F27" s="3" t="s">
        <v>55</v>
      </c>
      <c r="G27" s="3" t="s">
        <v>25</v>
      </c>
      <c r="H27" s="3" t="s">
        <v>37</v>
      </c>
      <c r="I27" s="6">
        <v>44470</v>
      </c>
      <c r="J27" s="4">
        <v>87</v>
      </c>
      <c r="K27" s="4">
        <v>43.5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56</v>
      </c>
      <c r="R27" s="3">
        <v>0</v>
      </c>
      <c r="S27" s="3">
        <v>3</v>
      </c>
      <c r="T27" s="3">
        <v>0</v>
      </c>
      <c r="U27" s="3">
        <v>0</v>
      </c>
      <c r="V27" s="4">
        <f>IF(ISERROR(VLOOKUP($S$27,'TAR FIN'!$A$1:$O$85,15,0)),0,VLOOKUP($S$27,'TAR FIN'!$A$1:$O$85,15,0))</f>
        <v>78.180000000000007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BE'!$AM$5+'TUSD BF'!$AM$5+'TUSD CVA'!$AM$5)*1</f>
        <v>87.613035401223812</v>
      </c>
      <c r="Z27" s="4">
        <f ca="1">('TUSD BE'!$AM$7+'TUSD BF'!$AM$7+'TUSD CVA'!$AM$7)*1</f>
        <v>100.14715657738388</v>
      </c>
      <c r="AA27" s="4"/>
      <c r="AB27" s="4">
        <f t="shared" si="0"/>
        <v>3400.8300000000004</v>
      </c>
      <c r="AC27" s="4">
        <f t="shared" si="1"/>
        <v>0</v>
      </c>
      <c r="AD27" s="4">
        <f t="shared" ca="1" si="2"/>
        <v>3811.1670399532359</v>
      </c>
      <c r="AE27" s="4">
        <f t="shared" ca="1" si="3"/>
        <v>0</v>
      </c>
      <c r="AF27" s="3" t="s">
        <v>609</v>
      </c>
    </row>
    <row r="28" spans="1:32" ht="11.25" customHeight="1" x14ac:dyDescent="0.25">
      <c r="A28" s="3" t="s">
        <v>21</v>
      </c>
      <c r="B28" s="3" t="s">
        <v>35</v>
      </c>
      <c r="C28" s="3" t="s">
        <v>54</v>
      </c>
      <c r="D28" s="3" t="s">
        <v>34</v>
      </c>
      <c r="E28" s="3" t="s">
        <v>25</v>
      </c>
      <c r="F28" s="3" t="s">
        <v>55</v>
      </c>
      <c r="G28" s="3" t="s">
        <v>25</v>
      </c>
      <c r="H28" s="3" t="s">
        <v>37</v>
      </c>
      <c r="I28" s="6">
        <v>44501</v>
      </c>
      <c r="J28" s="4">
        <v>87</v>
      </c>
      <c r="K28" s="4">
        <v>43.5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56</v>
      </c>
      <c r="R28" s="3">
        <v>0</v>
      </c>
      <c r="S28" s="3">
        <v>3</v>
      </c>
      <c r="T28" s="3">
        <v>0</v>
      </c>
      <c r="U28" s="3">
        <v>0</v>
      </c>
      <c r="V28" s="4">
        <f>IF(ISERROR(VLOOKUP($S$28,'TAR FIN'!$A$1:$O$85,15,0)),0,VLOOKUP($S$28,'TAR FIN'!$A$1:$O$85,15,0))</f>
        <v>78.180000000000007</v>
      </c>
      <c r="W28" s="4">
        <f>IF(ISERROR(VLOOKUP($T$28,'TAR FIN'!$A$1:$O$85,15,0)),0,VLOOKUP($T$28,'TAR FIN'!$A$1:$O$85,15,0))</f>
        <v>0</v>
      </c>
      <c r="X28" s="4">
        <f>IF(ISERROR(VLOOKUP($U$28,'TAR FIN'!$A$1:$O$85,15,0)),0,VLOOKUP($U$28,'TAR FIN'!$A$1:$O$85,15,0))</f>
        <v>0</v>
      </c>
      <c r="Y28" s="4">
        <f ca="1">('TUSD BE'!$AM$5+'TUSD BF'!$AM$5+'TUSD CVA'!$AM$5)*1</f>
        <v>87.613035401223812</v>
      </c>
      <c r="Z28" s="4">
        <f ca="1">('TUSD BE'!$AM$7+'TUSD BF'!$AM$7+'TUSD CVA'!$AM$7)*1</f>
        <v>100.14715657738388</v>
      </c>
      <c r="AA28" s="4"/>
      <c r="AB28" s="4">
        <f t="shared" si="0"/>
        <v>3400.8300000000004</v>
      </c>
      <c r="AC28" s="4">
        <f t="shared" si="1"/>
        <v>0</v>
      </c>
      <c r="AD28" s="4">
        <f t="shared" ca="1" si="2"/>
        <v>3811.1670399532359</v>
      </c>
      <c r="AE28" s="4">
        <f t="shared" ca="1" si="3"/>
        <v>0</v>
      </c>
      <c r="AF28" s="3" t="s">
        <v>609</v>
      </c>
    </row>
    <row r="29" spans="1:32" ht="11.25" customHeight="1" x14ac:dyDescent="0.25">
      <c r="A29" s="3" t="s">
        <v>21</v>
      </c>
      <c r="B29" s="3" t="s">
        <v>35</v>
      </c>
      <c r="C29" s="3" t="s">
        <v>54</v>
      </c>
      <c r="D29" s="3" t="s">
        <v>34</v>
      </c>
      <c r="E29" s="3" t="s">
        <v>25</v>
      </c>
      <c r="F29" s="3" t="s">
        <v>55</v>
      </c>
      <c r="G29" s="3" t="s">
        <v>25</v>
      </c>
      <c r="H29" s="3" t="s">
        <v>37</v>
      </c>
      <c r="I29" s="6">
        <v>44531</v>
      </c>
      <c r="J29" s="4">
        <v>87</v>
      </c>
      <c r="K29" s="4">
        <v>43.5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56</v>
      </c>
      <c r="R29" s="3">
        <v>0</v>
      </c>
      <c r="S29" s="3">
        <v>3</v>
      </c>
      <c r="T29" s="3">
        <v>0</v>
      </c>
      <c r="U29" s="3">
        <v>0</v>
      </c>
      <c r="V29" s="4">
        <f>IF(ISERROR(VLOOKUP($S$29,'TAR FIN'!$A$1:$O$85,15,0)),0,VLOOKUP($S$29,'TAR FIN'!$A$1:$O$85,15,0))</f>
        <v>78.180000000000007</v>
      </c>
      <c r="W29" s="4">
        <f>IF(ISERROR(VLOOKUP($T$29,'TAR FIN'!$A$1:$O$85,15,0)),0,VLOOKUP($T$29,'TAR FIN'!$A$1:$O$85,15,0))</f>
        <v>0</v>
      </c>
      <c r="X29" s="4">
        <f>IF(ISERROR(VLOOKUP($U$29,'TAR FIN'!$A$1:$O$85,15,0)),0,VLOOKUP($U$29,'TAR FIN'!$A$1:$O$85,15,0))</f>
        <v>0</v>
      </c>
      <c r="Y29" s="4">
        <f ca="1">('TUSD BE'!$AM$5+'TUSD BF'!$AM$5+'TUSD CVA'!$AM$5)*1</f>
        <v>87.613035401223812</v>
      </c>
      <c r="Z29" s="4">
        <f ca="1">('TUSD BE'!$AM$7+'TUSD BF'!$AM$7+'TUSD CVA'!$AM$7)*1</f>
        <v>100.14715657738388</v>
      </c>
      <c r="AA29" s="4"/>
      <c r="AB29" s="4">
        <f t="shared" si="0"/>
        <v>3400.8300000000004</v>
      </c>
      <c r="AC29" s="4">
        <f t="shared" si="1"/>
        <v>0</v>
      </c>
      <c r="AD29" s="4">
        <f t="shared" ca="1" si="2"/>
        <v>3811.1670399532359</v>
      </c>
      <c r="AE29" s="4">
        <f t="shared" ca="1" si="3"/>
        <v>0</v>
      </c>
      <c r="AF29" s="3" t="s">
        <v>609</v>
      </c>
    </row>
    <row r="30" spans="1:32" ht="11.25" customHeight="1" x14ac:dyDescent="0.25">
      <c r="A30" s="3" t="s">
        <v>21</v>
      </c>
      <c r="B30" s="3" t="s">
        <v>35</v>
      </c>
      <c r="C30" s="3" t="s">
        <v>54</v>
      </c>
      <c r="D30" s="3" t="s">
        <v>34</v>
      </c>
      <c r="E30" s="3" t="s">
        <v>25</v>
      </c>
      <c r="F30" s="3" t="s">
        <v>55</v>
      </c>
      <c r="G30" s="3" t="s">
        <v>25</v>
      </c>
      <c r="H30" s="3" t="s">
        <v>37</v>
      </c>
      <c r="I30" s="6">
        <v>44562</v>
      </c>
      <c r="J30" s="4">
        <v>87</v>
      </c>
      <c r="K30" s="4">
        <v>43.5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56</v>
      </c>
      <c r="R30" s="3">
        <v>0</v>
      </c>
      <c r="S30" s="3">
        <v>3</v>
      </c>
      <c r="T30" s="3">
        <v>0</v>
      </c>
      <c r="U30" s="3">
        <v>0</v>
      </c>
      <c r="V30" s="4">
        <f>IF(ISERROR(VLOOKUP($S$30,'TAR FIN'!$A$1:$O$85,15,0)),0,VLOOKUP($S$30,'TAR FIN'!$A$1:$O$85,15,0))</f>
        <v>78.180000000000007</v>
      </c>
      <c r="W30" s="4">
        <f>IF(ISERROR(VLOOKUP($T$30,'TAR FIN'!$A$1:$O$85,15,0)),0,VLOOKUP($T$30,'TAR FIN'!$A$1:$O$85,15,0))</f>
        <v>0</v>
      </c>
      <c r="X30" s="4">
        <f>IF(ISERROR(VLOOKUP($U$30,'TAR FIN'!$A$1:$O$85,15,0)),0,VLOOKUP($U$30,'TAR FIN'!$A$1:$O$85,15,0))</f>
        <v>0</v>
      </c>
      <c r="Y30" s="4">
        <f ca="1">('TUSD BE'!$AM$5+'TUSD BF'!$AM$5+'TUSD CVA'!$AM$5)*1</f>
        <v>87.613035401223812</v>
      </c>
      <c r="Z30" s="4">
        <f ca="1">('TUSD BE'!$AM$7+'TUSD BF'!$AM$7+'TUSD CVA'!$AM$7)*1</f>
        <v>100.14715657738388</v>
      </c>
      <c r="AA30" s="4"/>
      <c r="AB30" s="4">
        <f t="shared" si="0"/>
        <v>3400.8300000000004</v>
      </c>
      <c r="AC30" s="4">
        <f t="shared" si="1"/>
        <v>0</v>
      </c>
      <c r="AD30" s="4">
        <f t="shared" ca="1" si="2"/>
        <v>3811.1670399532359</v>
      </c>
      <c r="AE30" s="4">
        <f t="shared" ca="1" si="3"/>
        <v>0</v>
      </c>
      <c r="AF30" s="3" t="s">
        <v>609</v>
      </c>
    </row>
    <row r="31" spans="1:32" ht="11.25" customHeight="1" x14ac:dyDescent="0.25">
      <c r="A31" s="3" t="s">
        <v>21</v>
      </c>
      <c r="B31" s="3" t="s">
        <v>35</v>
      </c>
      <c r="C31" s="3" t="s">
        <v>54</v>
      </c>
      <c r="D31" s="3" t="s">
        <v>34</v>
      </c>
      <c r="E31" s="3" t="s">
        <v>25</v>
      </c>
      <c r="F31" s="3" t="s">
        <v>55</v>
      </c>
      <c r="G31" s="3" t="s">
        <v>25</v>
      </c>
      <c r="H31" s="3" t="s">
        <v>37</v>
      </c>
      <c r="I31" s="6">
        <v>44593</v>
      </c>
      <c r="J31" s="4">
        <v>87</v>
      </c>
      <c r="K31" s="4">
        <v>43.5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56</v>
      </c>
      <c r="R31" s="3">
        <v>0</v>
      </c>
      <c r="S31" s="3">
        <v>3</v>
      </c>
      <c r="T31" s="3">
        <v>0</v>
      </c>
      <c r="U31" s="3">
        <v>0</v>
      </c>
      <c r="V31" s="4">
        <f>IF(ISERROR(VLOOKUP($S$31,'TAR FIN'!$A$1:$O$85,15,0)),0,VLOOKUP($S$31,'TAR FIN'!$A$1:$O$85,15,0))</f>
        <v>78.180000000000007</v>
      </c>
      <c r="W31" s="4">
        <f>IF(ISERROR(VLOOKUP($T$31,'TAR FIN'!$A$1:$O$85,15,0)),0,VLOOKUP($T$31,'TAR FIN'!$A$1:$O$85,15,0))</f>
        <v>0</v>
      </c>
      <c r="X31" s="4">
        <f>IF(ISERROR(VLOOKUP($U$31,'TAR FIN'!$A$1:$O$85,15,0)),0,VLOOKUP($U$31,'TAR FIN'!$A$1:$O$85,15,0))</f>
        <v>0</v>
      </c>
      <c r="Y31" s="4">
        <f ca="1">('TUSD BE'!$AM$5+'TUSD BF'!$AM$5+'TUSD CVA'!$AM$5)*1</f>
        <v>87.613035401223812</v>
      </c>
      <c r="Z31" s="4">
        <f ca="1">('TUSD BE'!$AM$7+'TUSD BF'!$AM$7+'TUSD CVA'!$AM$7)*1</f>
        <v>100.14715657738388</v>
      </c>
      <c r="AA31" s="4"/>
      <c r="AB31" s="4">
        <f t="shared" si="0"/>
        <v>3400.8300000000004</v>
      </c>
      <c r="AC31" s="4">
        <f t="shared" si="1"/>
        <v>0</v>
      </c>
      <c r="AD31" s="4">
        <f t="shared" ca="1" si="2"/>
        <v>3811.1670399532359</v>
      </c>
      <c r="AE31" s="4">
        <f t="shared" ca="1" si="3"/>
        <v>0</v>
      </c>
      <c r="AF31" s="3" t="s">
        <v>609</v>
      </c>
    </row>
    <row r="32" spans="1:32" ht="11.25" customHeight="1" x14ac:dyDescent="0.25">
      <c r="A32" s="3" t="s">
        <v>21</v>
      </c>
      <c r="B32" s="3" t="s">
        <v>35</v>
      </c>
      <c r="C32" s="3" t="s">
        <v>54</v>
      </c>
      <c r="D32" s="3" t="s">
        <v>34</v>
      </c>
      <c r="E32" s="3" t="s">
        <v>25</v>
      </c>
      <c r="F32" s="3" t="s">
        <v>55</v>
      </c>
      <c r="G32" s="3" t="s">
        <v>25</v>
      </c>
      <c r="H32" s="3" t="s">
        <v>37</v>
      </c>
      <c r="I32" s="6">
        <v>44621</v>
      </c>
      <c r="J32" s="4">
        <v>87</v>
      </c>
      <c r="K32" s="4">
        <v>43.5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56</v>
      </c>
      <c r="R32" s="3">
        <v>0</v>
      </c>
      <c r="S32" s="3">
        <v>3</v>
      </c>
      <c r="T32" s="3">
        <v>0</v>
      </c>
      <c r="U32" s="3">
        <v>0</v>
      </c>
      <c r="V32" s="4">
        <f>IF(ISERROR(VLOOKUP($S$32,'TAR FIN'!$A$1:$O$85,15,0)),0,VLOOKUP($S$32,'TAR FIN'!$A$1:$O$85,15,0))</f>
        <v>78.180000000000007</v>
      </c>
      <c r="W32" s="4">
        <f>IF(ISERROR(VLOOKUP($T$32,'TAR FIN'!$A$1:$O$85,15,0)),0,VLOOKUP($T$32,'TAR FIN'!$A$1:$O$85,15,0))</f>
        <v>0</v>
      </c>
      <c r="X32" s="4">
        <f>IF(ISERROR(VLOOKUP($U$32,'TAR FIN'!$A$1:$O$85,15,0)),0,VLOOKUP($U$32,'TAR FIN'!$A$1:$O$85,15,0))</f>
        <v>0</v>
      </c>
      <c r="Y32" s="4">
        <f ca="1">('TUSD BE'!$AM$5+'TUSD BF'!$AM$5+'TUSD CVA'!$AM$5)*1</f>
        <v>87.613035401223812</v>
      </c>
      <c r="Z32" s="4">
        <f ca="1">('TUSD BE'!$AM$7+'TUSD BF'!$AM$7+'TUSD CVA'!$AM$7)*1</f>
        <v>100.14715657738388</v>
      </c>
      <c r="AA32" s="4"/>
      <c r="AB32" s="4">
        <f t="shared" si="0"/>
        <v>3400.8300000000004</v>
      </c>
      <c r="AC32" s="4">
        <f t="shared" si="1"/>
        <v>0</v>
      </c>
      <c r="AD32" s="4">
        <f t="shared" ca="1" si="2"/>
        <v>3811.1670399532359</v>
      </c>
      <c r="AE32" s="4">
        <f t="shared" ca="1" si="3"/>
        <v>0</v>
      </c>
      <c r="AF32" s="3" t="s">
        <v>609</v>
      </c>
    </row>
    <row r="33" spans="1:32" ht="11.25" customHeight="1" x14ac:dyDescent="0.25">
      <c r="A33" s="3" t="s">
        <v>21</v>
      </c>
      <c r="B33" s="3" t="s">
        <v>35</v>
      </c>
      <c r="C33" s="3" t="s">
        <v>54</v>
      </c>
      <c r="D33" s="3" t="s">
        <v>34</v>
      </c>
      <c r="E33" s="3" t="s">
        <v>25</v>
      </c>
      <c r="F33" s="3" t="s">
        <v>55</v>
      </c>
      <c r="G33" s="3" t="s">
        <v>25</v>
      </c>
      <c r="H33" s="3" t="s">
        <v>37</v>
      </c>
      <c r="I33" s="6">
        <v>44652</v>
      </c>
      <c r="J33" s="4">
        <v>87</v>
      </c>
      <c r="K33" s="4">
        <v>43.5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56</v>
      </c>
      <c r="R33" s="3">
        <v>0</v>
      </c>
      <c r="S33" s="3">
        <v>3</v>
      </c>
      <c r="T33" s="3">
        <v>0</v>
      </c>
      <c r="U33" s="3">
        <v>0</v>
      </c>
      <c r="V33" s="4">
        <f>IF(ISERROR(VLOOKUP($S$33,'TAR FIN'!$A$1:$O$85,15,0)),0,VLOOKUP($S$33,'TAR FIN'!$A$1:$O$85,15,0))</f>
        <v>78.180000000000007</v>
      </c>
      <c r="W33" s="4">
        <f>IF(ISERROR(VLOOKUP($T$33,'TAR FIN'!$A$1:$O$85,15,0)),0,VLOOKUP($T$33,'TAR FIN'!$A$1:$O$85,15,0))</f>
        <v>0</v>
      </c>
      <c r="X33" s="4">
        <f>IF(ISERROR(VLOOKUP($U$33,'TAR FIN'!$A$1:$O$85,15,0)),0,VLOOKUP($U$33,'TAR FIN'!$A$1:$O$85,15,0))</f>
        <v>0</v>
      </c>
      <c r="Y33" s="4">
        <f ca="1">('TUSD BE'!$AM$5+'TUSD BF'!$AM$5+'TUSD CVA'!$AM$5)*1</f>
        <v>87.613035401223812</v>
      </c>
      <c r="Z33" s="4">
        <f ca="1">('TUSD BE'!$AM$7+'TUSD BF'!$AM$7+'TUSD CVA'!$AM$7)*1</f>
        <v>100.14715657738388</v>
      </c>
      <c r="AA33" s="4"/>
      <c r="AB33" s="4">
        <f t="shared" si="0"/>
        <v>3400.8300000000004</v>
      </c>
      <c r="AC33" s="4">
        <f t="shared" si="1"/>
        <v>0</v>
      </c>
      <c r="AD33" s="4">
        <f t="shared" ca="1" si="2"/>
        <v>3811.1670399532359</v>
      </c>
      <c r="AE33" s="4">
        <f t="shared" ca="1" si="3"/>
        <v>0</v>
      </c>
      <c r="AF33" s="3" t="s">
        <v>609</v>
      </c>
    </row>
    <row r="34" spans="1:32" ht="11.25" customHeight="1" x14ac:dyDescent="0.25">
      <c r="A34" s="3" t="s">
        <v>21</v>
      </c>
      <c r="B34" s="3" t="s">
        <v>35</v>
      </c>
      <c r="C34" s="3" t="s">
        <v>54</v>
      </c>
      <c r="D34" s="3" t="s">
        <v>34</v>
      </c>
      <c r="E34" s="3" t="s">
        <v>25</v>
      </c>
      <c r="F34" s="3" t="s">
        <v>55</v>
      </c>
      <c r="G34" s="3" t="s">
        <v>25</v>
      </c>
      <c r="H34" s="3" t="s">
        <v>37</v>
      </c>
      <c r="I34" s="6">
        <v>44682</v>
      </c>
      <c r="J34" s="4">
        <v>87</v>
      </c>
      <c r="K34" s="4">
        <v>43.5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56</v>
      </c>
      <c r="R34" s="3">
        <v>0</v>
      </c>
      <c r="S34" s="3">
        <v>3</v>
      </c>
      <c r="T34" s="3">
        <v>0</v>
      </c>
      <c r="U34" s="3">
        <v>0</v>
      </c>
      <c r="V34" s="4">
        <f>IF(ISERROR(VLOOKUP($S$34,'TAR FIN'!$A$1:$O$85,15,0)),0,VLOOKUP($S$34,'TAR FIN'!$A$1:$O$85,15,0))</f>
        <v>78.180000000000007</v>
      </c>
      <c r="W34" s="4">
        <f>IF(ISERROR(VLOOKUP($T$34,'TAR FIN'!$A$1:$O$85,15,0)),0,VLOOKUP($T$34,'TAR FIN'!$A$1:$O$85,15,0))</f>
        <v>0</v>
      </c>
      <c r="X34" s="4">
        <f>IF(ISERROR(VLOOKUP($U$34,'TAR FIN'!$A$1:$O$85,15,0)),0,VLOOKUP($U$34,'TAR FIN'!$A$1:$O$85,15,0))</f>
        <v>0</v>
      </c>
      <c r="Y34" s="4">
        <f ca="1">('TUSD BE'!$AM$5+'TUSD BF'!$AM$5+'TUSD CVA'!$AM$5)*1</f>
        <v>87.613035401223812</v>
      </c>
      <c r="Z34" s="4">
        <f ca="1">('TUSD BE'!$AM$7+'TUSD BF'!$AM$7+'TUSD CVA'!$AM$7)*1</f>
        <v>100.14715657738388</v>
      </c>
      <c r="AA34" s="4"/>
      <c r="AB34" s="4">
        <f t="shared" si="0"/>
        <v>3400.8300000000004</v>
      </c>
      <c r="AC34" s="4">
        <f t="shared" ref="AC34:AC65" si="6">(L34-M34)*W34+(N34-O34)*X34</f>
        <v>0</v>
      </c>
      <c r="AD34" s="4">
        <f t="shared" ca="1" si="2"/>
        <v>3811.1670399532359</v>
      </c>
      <c r="AE34" s="4">
        <f t="shared" ref="AE34:AE65" ca="1" si="7">(L34-M34)*Z34+(N34-O34)*AA34</f>
        <v>0</v>
      </c>
      <c r="AF34" s="3" t="s">
        <v>609</v>
      </c>
    </row>
    <row r="35" spans="1:32" ht="11.25" customHeight="1" x14ac:dyDescent="0.25">
      <c r="A35" s="3" t="s">
        <v>21</v>
      </c>
      <c r="B35" s="3" t="s">
        <v>35</v>
      </c>
      <c r="C35" s="3" t="s">
        <v>54</v>
      </c>
      <c r="D35" s="3" t="s">
        <v>34</v>
      </c>
      <c r="E35" s="3" t="s">
        <v>25</v>
      </c>
      <c r="F35" s="3" t="s">
        <v>55</v>
      </c>
      <c r="G35" s="3" t="s">
        <v>25</v>
      </c>
      <c r="H35" s="3" t="s">
        <v>37</v>
      </c>
      <c r="I35" s="6">
        <v>44713</v>
      </c>
      <c r="J35" s="4">
        <v>87</v>
      </c>
      <c r="K35" s="4">
        <v>43.5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56</v>
      </c>
      <c r="R35" s="3">
        <v>0</v>
      </c>
      <c r="S35" s="3">
        <v>3</v>
      </c>
      <c r="T35" s="3">
        <v>0</v>
      </c>
      <c r="U35" s="3">
        <v>0</v>
      </c>
      <c r="V35" s="4">
        <f>IF(ISERROR(VLOOKUP($S$35,'TAR FIN'!$A$1:$O$85,15,0)),0,VLOOKUP($S$35,'TAR FIN'!$A$1:$O$85,15,0))</f>
        <v>78.180000000000007</v>
      </c>
      <c r="W35" s="4">
        <f>IF(ISERROR(VLOOKUP($T$35,'TAR FIN'!$A$1:$O$85,15,0)),0,VLOOKUP($T$35,'TAR FIN'!$A$1:$O$85,15,0))</f>
        <v>0</v>
      </c>
      <c r="X35" s="4">
        <f>IF(ISERROR(VLOOKUP($U$35,'TAR FIN'!$A$1:$O$85,15,0)),0,VLOOKUP($U$35,'TAR FIN'!$A$1:$O$85,15,0))</f>
        <v>0</v>
      </c>
      <c r="Y35" s="4">
        <f ca="1">('TUSD BE'!$AM$5+'TUSD BF'!$AM$5+'TUSD CVA'!$AM$5)*1</f>
        <v>87.613035401223812</v>
      </c>
      <c r="Z35" s="4">
        <f ca="1">('TUSD BE'!$AM$7+'TUSD BF'!$AM$7+'TUSD CVA'!$AM$7)*1</f>
        <v>100.14715657738388</v>
      </c>
      <c r="AA35" s="4"/>
      <c r="AB35" s="4">
        <f t="shared" si="0"/>
        <v>3400.8300000000004</v>
      </c>
      <c r="AC35" s="4">
        <f t="shared" si="6"/>
        <v>0</v>
      </c>
      <c r="AD35" s="4">
        <f t="shared" ca="1" si="2"/>
        <v>3811.1670399532359</v>
      </c>
      <c r="AE35" s="4">
        <f t="shared" ca="1" si="7"/>
        <v>0</v>
      </c>
      <c r="AF35" s="3" t="s">
        <v>609</v>
      </c>
    </row>
    <row r="36" spans="1:32" ht="11.25" customHeight="1" x14ac:dyDescent="0.25">
      <c r="A36" s="3" t="s">
        <v>21</v>
      </c>
      <c r="B36" s="3" t="s">
        <v>35</v>
      </c>
      <c r="C36" s="3" t="s">
        <v>54</v>
      </c>
      <c r="D36" s="3" t="s">
        <v>34</v>
      </c>
      <c r="E36" s="3" t="s">
        <v>25</v>
      </c>
      <c r="F36" s="3" t="s">
        <v>55</v>
      </c>
      <c r="G36" s="3" t="s">
        <v>25</v>
      </c>
      <c r="H36" s="3" t="s">
        <v>37</v>
      </c>
      <c r="I36" s="6">
        <v>44743</v>
      </c>
      <c r="J36" s="4">
        <v>87</v>
      </c>
      <c r="K36" s="4">
        <v>43.5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56</v>
      </c>
      <c r="R36" s="3">
        <v>0</v>
      </c>
      <c r="S36" s="3">
        <v>3</v>
      </c>
      <c r="T36" s="3">
        <v>0</v>
      </c>
      <c r="U36" s="3">
        <v>0</v>
      </c>
      <c r="V36" s="4">
        <f>IF(ISERROR(VLOOKUP($S$36,'TAR FIN'!$A$1:$O$85,15,0)),0,VLOOKUP($S$36,'TAR FIN'!$A$1:$O$85,15,0))</f>
        <v>78.180000000000007</v>
      </c>
      <c r="W36" s="4">
        <f>IF(ISERROR(VLOOKUP($T$36,'TAR FIN'!$A$1:$O$85,15,0)),0,VLOOKUP($T$36,'TAR FIN'!$A$1:$O$85,15,0))</f>
        <v>0</v>
      </c>
      <c r="X36" s="4">
        <f>IF(ISERROR(VLOOKUP($U$36,'TAR FIN'!$A$1:$O$85,15,0)),0,VLOOKUP($U$36,'TAR FIN'!$A$1:$O$85,15,0))</f>
        <v>0</v>
      </c>
      <c r="Y36" s="4">
        <f ca="1">('TUSD BE'!$AM$5+'TUSD BF'!$AM$5+'TUSD CVA'!$AM$5)*1</f>
        <v>87.613035401223812</v>
      </c>
      <c r="Z36" s="4">
        <f ca="1">('TUSD BE'!$AM$7+'TUSD BF'!$AM$7+'TUSD CVA'!$AM$7)*1</f>
        <v>100.14715657738388</v>
      </c>
      <c r="AA36" s="4"/>
      <c r="AB36" s="4">
        <f t="shared" si="0"/>
        <v>3400.8300000000004</v>
      </c>
      <c r="AC36" s="4">
        <f t="shared" si="6"/>
        <v>0</v>
      </c>
      <c r="AD36" s="4">
        <f t="shared" ca="1" si="2"/>
        <v>3811.1670399532359</v>
      </c>
      <c r="AE36" s="4">
        <f t="shared" ca="1" si="7"/>
        <v>0</v>
      </c>
      <c r="AF36" s="3" t="s">
        <v>609</v>
      </c>
    </row>
    <row r="37" spans="1:32" ht="11.25" customHeight="1" x14ac:dyDescent="0.25">
      <c r="A37" s="3" t="s">
        <v>21</v>
      </c>
      <c r="B37" s="3" t="s">
        <v>35</v>
      </c>
      <c r="C37" s="3" t="s">
        <v>54</v>
      </c>
      <c r="D37" s="3" t="s">
        <v>34</v>
      </c>
      <c r="E37" s="3" t="s">
        <v>25</v>
      </c>
      <c r="F37" s="3" t="s">
        <v>55</v>
      </c>
      <c r="G37" s="3" t="s">
        <v>25</v>
      </c>
      <c r="H37" s="3" t="s">
        <v>37</v>
      </c>
      <c r="I37" s="6">
        <v>44774</v>
      </c>
      <c r="J37" s="4">
        <v>87</v>
      </c>
      <c r="K37" s="4">
        <v>43.5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56</v>
      </c>
      <c r="R37" s="3">
        <v>0</v>
      </c>
      <c r="S37" s="3">
        <v>3</v>
      </c>
      <c r="T37" s="3">
        <v>0</v>
      </c>
      <c r="U37" s="3">
        <v>0</v>
      </c>
      <c r="V37" s="4">
        <f>IF(ISERROR(VLOOKUP($S$37,'TAR FIN'!$A$1:$O$85,15,0)),0,VLOOKUP($S$37,'TAR FIN'!$A$1:$O$85,15,0))</f>
        <v>78.180000000000007</v>
      </c>
      <c r="W37" s="4">
        <f>IF(ISERROR(VLOOKUP($T$37,'TAR FIN'!$A$1:$O$85,15,0)),0,VLOOKUP($T$37,'TAR FIN'!$A$1:$O$85,15,0))</f>
        <v>0</v>
      </c>
      <c r="X37" s="4">
        <f>IF(ISERROR(VLOOKUP($U$37,'TAR FIN'!$A$1:$O$85,15,0)),0,VLOOKUP($U$37,'TAR FIN'!$A$1:$O$85,15,0))</f>
        <v>0</v>
      </c>
      <c r="Y37" s="4">
        <f ca="1">('TUSD BE'!$AM$5+'TUSD BF'!$AM$5+'TUSD CVA'!$AM$5)*1</f>
        <v>87.613035401223812</v>
      </c>
      <c r="Z37" s="4">
        <f ca="1">('TUSD BE'!$AM$7+'TUSD BF'!$AM$7+'TUSD CVA'!$AM$7)*1</f>
        <v>100.14715657738388</v>
      </c>
      <c r="AA37" s="4"/>
      <c r="AB37" s="4">
        <f t="shared" si="0"/>
        <v>3400.8300000000004</v>
      </c>
      <c r="AC37" s="4">
        <f t="shared" si="6"/>
        <v>0</v>
      </c>
      <c r="AD37" s="4">
        <f t="shared" ca="1" si="2"/>
        <v>3811.1670399532359</v>
      </c>
      <c r="AE37" s="4">
        <f t="shared" ca="1" si="7"/>
        <v>0</v>
      </c>
      <c r="AF37" s="3" t="s">
        <v>609</v>
      </c>
    </row>
    <row r="38" spans="1:32" ht="11.25" customHeight="1" x14ac:dyDescent="0.25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55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257.48399999999998</v>
      </c>
      <c r="M38" s="4">
        <v>257.48399999999998</v>
      </c>
      <c r="N38" s="4">
        <v>0</v>
      </c>
      <c r="O38" s="4">
        <v>0</v>
      </c>
      <c r="P38" s="4">
        <v>0</v>
      </c>
      <c r="Q38" s="3" t="s">
        <v>56</v>
      </c>
      <c r="R38" s="3">
        <v>0</v>
      </c>
      <c r="S38" s="3">
        <v>0</v>
      </c>
      <c r="T38" s="3">
        <v>15</v>
      </c>
      <c r="U38" s="3">
        <v>0</v>
      </c>
      <c r="V38" s="4">
        <f>IF(ISERROR(VLOOKUP($S$38,'TAR FIN'!$A$1:$O$85,15,0)),0,VLOOKUP($S$38,'TAR FIN'!$A$1:$O$85,15,0))</f>
        <v>0</v>
      </c>
      <c r="W38" s="4">
        <f>IF(ISERROR(VLOOKUP($T$38,'TAR FIN'!$A$1:$O$85,15,0)),0,VLOOKUP($T$38,'TAR FIN'!$A$1:$O$85,15,0))</f>
        <v>56.92</v>
      </c>
      <c r="X38" s="4">
        <f>IF(ISERROR(VLOOKUP($U$38,'TAR FIN'!$A$1:$O$85,15,0)),0,VLOOKUP($U$38,'TAR FIN'!$A$1:$O$85,15,0))</f>
        <v>0</v>
      </c>
      <c r="Y38" s="4"/>
      <c r="Z38" s="4">
        <f ca="1">('TUSD BE'!$AM$12+'TUSD BF'!$AM$12+'TUSD CVA'!$AM$12)*1</f>
        <v>100.14715657738388</v>
      </c>
      <c r="AA38" s="4"/>
      <c r="AB38" s="4">
        <f t="shared" si="0"/>
        <v>0</v>
      </c>
      <c r="AC38" s="4">
        <f t="shared" si="6"/>
        <v>0</v>
      </c>
      <c r="AD38" s="4">
        <f t="shared" si="2"/>
        <v>0</v>
      </c>
      <c r="AE38" s="4">
        <f t="shared" ca="1" si="7"/>
        <v>0</v>
      </c>
      <c r="AF38" s="3" t="s">
        <v>609</v>
      </c>
    </row>
    <row r="39" spans="1:32" ht="11.25" customHeight="1" x14ac:dyDescent="0.25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55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278.851</v>
      </c>
      <c r="M39" s="4">
        <v>278.851</v>
      </c>
      <c r="N39" s="4">
        <v>0</v>
      </c>
      <c r="O39" s="4">
        <v>0</v>
      </c>
      <c r="P39" s="4">
        <v>0</v>
      </c>
      <c r="Q39" s="3" t="s">
        <v>56</v>
      </c>
      <c r="R39" s="3">
        <v>0</v>
      </c>
      <c r="S39" s="3">
        <v>0</v>
      </c>
      <c r="T39" s="3">
        <v>15</v>
      </c>
      <c r="U39" s="3">
        <v>0</v>
      </c>
      <c r="V39" s="4">
        <f>IF(ISERROR(VLOOKUP($S$39,'TAR FIN'!$A$1:$O$85,15,0)),0,VLOOKUP($S$39,'TAR FIN'!$A$1:$O$85,15,0))</f>
        <v>0</v>
      </c>
      <c r="W39" s="4">
        <f>IF(ISERROR(VLOOKUP($T$39,'TAR FIN'!$A$1:$O$85,15,0)),0,VLOOKUP($T$39,'TAR FIN'!$A$1:$O$85,15,0))</f>
        <v>56.92</v>
      </c>
      <c r="X39" s="4">
        <f>IF(ISERROR(VLOOKUP($U$39,'TAR FIN'!$A$1:$O$85,15,0)),0,VLOOKUP($U$39,'TAR FIN'!$A$1:$O$85,15,0))</f>
        <v>0</v>
      </c>
      <c r="Y39" s="4"/>
      <c r="Z39" s="4">
        <f ca="1">('TUSD BE'!$AM$12+'TUSD BF'!$AM$12+'TUSD CVA'!$AM$12)*1</f>
        <v>100.14715657738388</v>
      </c>
      <c r="AA39" s="4"/>
      <c r="AB39" s="4">
        <f t="shared" si="0"/>
        <v>0</v>
      </c>
      <c r="AC39" s="4">
        <f t="shared" si="6"/>
        <v>0</v>
      </c>
      <c r="AD39" s="4">
        <f t="shared" si="2"/>
        <v>0</v>
      </c>
      <c r="AE39" s="4">
        <f t="shared" ca="1" si="7"/>
        <v>0</v>
      </c>
      <c r="AF39" s="3" t="s">
        <v>609</v>
      </c>
    </row>
    <row r="40" spans="1:32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55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274.83199999999999</v>
      </c>
      <c r="M40" s="4">
        <v>274.83199999999999</v>
      </c>
      <c r="N40" s="4">
        <v>0</v>
      </c>
      <c r="O40" s="4">
        <v>0</v>
      </c>
      <c r="P40" s="4">
        <v>0</v>
      </c>
      <c r="Q40" s="3" t="s">
        <v>56</v>
      </c>
      <c r="R40" s="3">
        <v>0</v>
      </c>
      <c r="S40" s="3">
        <v>0</v>
      </c>
      <c r="T40" s="3">
        <v>15</v>
      </c>
      <c r="U40" s="3">
        <v>0</v>
      </c>
      <c r="V40" s="4">
        <f>IF(ISERROR(VLOOKUP($S$40,'TAR FIN'!$A$1:$O$85,15,0)),0,VLOOKUP($S$40,'TAR FIN'!$A$1:$O$85,15,0))</f>
        <v>0</v>
      </c>
      <c r="W40" s="4">
        <f>IF(ISERROR(VLOOKUP($T$40,'TAR FIN'!$A$1:$O$85,15,0)),0,VLOOKUP($T$40,'TAR FIN'!$A$1:$O$85,15,0))</f>
        <v>56.92</v>
      </c>
      <c r="X40" s="4">
        <f>IF(ISERROR(VLOOKUP($U$40,'TAR FIN'!$A$1:$O$85,15,0)),0,VLOOKUP($U$40,'TAR FIN'!$A$1:$O$85,15,0))</f>
        <v>0</v>
      </c>
      <c r="Y40" s="4"/>
      <c r="Z40" s="4">
        <f ca="1">('TUSD BE'!$AM$12+'TUSD BF'!$AM$12+'TUSD CVA'!$AM$12)*1</f>
        <v>100.14715657738388</v>
      </c>
      <c r="AA40" s="4"/>
      <c r="AB40" s="4">
        <f t="shared" si="0"/>
        <v>0</v>
      </c>
      <c r="AC40" s="4">
        <f t="shared" si="6"/>
        <v>0</v>
      </c>
      <c r="AD40" s="4">
        <f t="shared" si="2"/>
        <v>0</v>
      </c>
      <c r="AE40" s="4">
        <f t="shared" ca="1" si="7"/>
        <v>0</v>
      </c>
      <c r="AF40" s="3" t="s">
        <v>609</v>
      </c>
    </row>
    <row r="41" spans="1:32" ht="11.25" customHeight="1" x14ac:dyDescent="0.25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55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208.74100000000001</v>
      </c>
      <c r="M41" s="4">
        <v>208.74100000000001</v>
      </c>
      <c r="N41" s="4">
        <v>0</v>
      </c>
      <c r="O41" s="4">
        <v>0</v>
      </c>
      <c r="P41" s="4">
        <v>0</v>
      </c>
      <c r="Q41" s="3" t="s">
        <v>56</v>
      </c>
      <c r="R41" s="3">
        <v>0</v>
      </c>
      <c r="S41" s="3">
        <v>0</v>
      </c>
      <c r="T41" s="3">
        <v>15</v>
      </c>
      <c r="U41" s="3">
        <v>0</v>
      </c>
      <c r="V41" s="4">
        <f>IF(ISERROR(VLOOKUP($S$41,'TAR FIN'!$A$1:$O$85,15,0)),0,VLOOKUP($S$41,'TAR FIN'!$A$1:$O$85,15,0))</f>
        <v>0</v>
      </c>
      <c r="W41" s="4">
        <f>IF(ISERROR(VLOOKUP($T$41,'TAR FIN'!$A$1:$O$85,15,0)),0,VLOOKUP($T$41,'TAR FIN'!$A$1:$O$85,15,0))</f>
        <v>56.92</v>
      </c>
      <c r="X41" s="4">
        <f>IF(ISERROR(VLOOKUP($U$41,'TAR FIN'!$A$1:$O$85,15,0)),0,VLOOKUP($U$41,'TAR FIN'!$A$1:$O$85,15,0))</f>
        <v>0</v>
      </c>
      <c r="Y41" s="4"/>
      <c r="Z41" s="4">
        <f ca="1">('TUSD BE'!$AM$12+'TUSD BF'!$AM$12+'TUSD CVA'!$AM$12)*1</f>
        <v>100.14715657738388</v>
      </c>
      <c r="AA41" s="4"/>
      <c r="AB41" s="4">
        <f t="shared" si="0"/>
        <v>0</v>
      </c>
      <c r="AC41" s="4">
        <f t="shared" si="6"/>
        <v>0</v>
      </c>
      <c r="AD41" s="4">
        <f t="shared" si="2"/>
        <v>0</v>
      </c>
      <c r="AE41" s="4">
        <f t="shared" ca="1" si="7"/>
        <v>0</v>
      </c>
      <c r="AF41" s="3" t="s">
        <v>609</v>
      </c>
    </row>
    <row r="42" spans="1:32" ht="11.25" customHeight="1" x14ac:dyDescent="0.25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55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280.149</v>
      </c>
      <c r="M42" s="4">
        <v>280.149</v>
      </c>
      <c r="N42" s="4">
        <v>0</v>
      </c>
      <c r="O42" s="4">
        <v>0</v>
      </c>
      <c r="P42" s="4">
        <v>0</v>
      </c>
      <c r="Q42" s="3" t="s">
        <v>56</v>
      </c>
      <c r="R42" s="3">
        <v>0</v>
      </c>
      <c r="S42" s="3">
        <v>0</v>
      </c>
      <c r="T42" s="3">
        <v>15</v>
      </c>
      <c r="U42" s="3">
        <v>0</v>
      </c>
      <c r="V42" s="4">
        <f>IF(ISERROR(VLOOKUP($S$42,'TAR FIN'!$A$1:$O$85,15,0)),0,VLOOKUP($S$42,'TAR FIN'!$A$1:$O$85,15,0))</f>
        <v>0</v>
      </c>
      <c r="W42" s="4">
        <f>IF(ISERROR(VLOOKUP($T$42,'TAR FIN'!$A$1:$O$85,15,0)),0,VLOOKUP($T$42,'TAR FIN'!$A$1:$O$85,15,0))</f>
        <v>56.92</v>
      </c>
      <c r="X42" s="4">
        <f>IF(ISERROR(VLOOKUP($U$42,'TAR FIN'!$A$1:$O$85,15,0)),0,VLOOKUP($U$42,'TAR FIN'!$A$1:$O$85,15,0))</f>
        <v>0</v>
      </c>
      <c r="Y42" s="4"/>
      <c r="Z42" s="4">
        <f ca="1">('TUSD BE'!$AM$12+'TUSD BF'!$AM$12+'TUSD CVA'!$AM$12)*1</f>
        <v>100.14715657738388</v>
      </c>
      <c r="AA42" s="4"/>
      <c r="AB42" s="4">
        <f t="shared" si="0"/>
        <v>0</v>
      </c>
      <c r="AC42" s="4">
        <f t="shared" si="6"/>
        <v>0</v>
      </c>
      <c r="AD42" s="4">
        <f t="shared" si="2"/>
        <v>0</v>
      </c>
      <c r="AE42" s="4">
        <f t="shared" ca="1" si="7"/>
        <v>0</v>
      </c>
      <c r="AF42" s="3" t="s">
        <v>609</v>
      </c>
    </row>
    <row r="43" spans="1:32" ht="11.25" customHeight="1" x14ac:dyDescent="0.25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55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295.05799999999999</v>
      </c>
      <c r="M43" s="4">
        <v>295.05799999999999</v>
      </c>
      <c r="N43" s="4">
        <v>0</v>
      </c>
      <c r="O43" s="4">
        <v>0</v>
      </c>
      <c r="P43" s="4">
        <v>0</v>
      </c>
      <c r="Q43" s="3" t="s">
        <v>56</v>
      </c>
      <c r="R43" s="3">
        <v>0</v>
      </c>
      <c r="S43" s="3">
        <v>0</v>
      </c>
      <c r="T43" s="3">
        <v>15</v>
      </c>
      <c r="U43" s="3">
        <v>0</v>
      </c>
      <c r="V43" s="4">
        <f>IF(ISERROR(VLOOKUP($S$43,'TAR FIN'!$A$1:$O$85,15,0)),0,VLOOKUP($S$43,'TAR FIN'!$A$1:$O$85,15,0))</f>
        <v>0</v>
      </c>
      <c r="W43" s="4">
        <f>IF(ISERROR(VLOOKUP($T$43,'TAR FIN'!$A$1:$O$85,15,0)),0,VLOOKUP($T$43,'TAR FIN'!$A$1:$O$85,15,0))</f>
        <v>56.92</v>
      </c>
      <c r="X43" s="4">
        <f>IF(ISERROR(VLOOKUP($U$43,'TAR FIN'!$A$1:$O$85,15,0)),0,VLOOKUP($U$43,'TAR FIN'!$A$1:$O$85,15,0))</f>
        <v>0</v>
      </c>
      <c r="Y43" s="4"/>
      <c r="Z43" s="4">
        <f ca="1">('TUSD BE'!$AM$12+'TUSD BF'!$AM$12+'TUSD CVA'!$AM$12)*1</f>
        <v>100.14715657738388</v>
      </c>
      <c r="AA43" s="4"/>
      <c r="AB43" s="4">
        <f t="shared" si="0"/>
        <v>0</v>
      </c>
      <c r="AC43" s="4">
        <f t="shared" si="6"/>
        <v>0</v>
      </c>
      <c r="AD43" s="4">
        <f t="shared" si="2"/>
        <v>0</v>
      </c>
      <c r="AE43" s="4">
        <f t="shared" ca="1" si="7"/>
        <v>0</v>
      </c>
      <c r="AF43" s="3" t="s">
        <v>609</v>
      </c>
    </row>
    <row r="44" spans="1:32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55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336.435</v>
      </c>
      <c r="M44" s="4">
        <v>336.435</v>
      </c>
      <c r="N44" s="4">
        <v>0</v>
      </c>
      <c r="O44" s="4">
        <v>0</v>
      </c>
      <c r="P44" s="4">
        <v>0</v>
      </c>
      <c r="Q44" s="3" t="s">
        <v>56</v>
      </c>
      <c r="R44" s="3">
        <v>0</v>
      </c>
      <c r="S44" s="3">
        <v>0</v>
      </c>
      <c r="T44" s="3">
        <v>15</v>
      </c>
      <c r="U44" s="3">
        <v>0</v>
      </c>
      <c r="V44" s="4">
        <f>IF(ISERROR(VLOOKUP($S$44,'TAR FIN'!$A$1:$O$85,15,0)),0,VLOOKUP($S$44,'TAR FIN'!$A$1:$O$85,15,0))</f>
        <v>0</v>
      </c>
      <c r="W44" s="4">
        <f>IF(ISERROR(VLOOKUP($T$44,'TAR FIN'!$A$1:$O$85,15,0)),0,VLOOKUP($T$44,'TAR FIN'!$A$1:$O$85,15,0))</f>
        <v>56.92</v>
      </c>
      <c r="X44" s="4">
        <f>IF(ISERROR(VLOOKUP($U$44,'TAR FIN'!$A$1:$O$85,15,0)),0,VLOOKUP($U$44,'TAR FIN'!$A$1:$O$85,15,0))</f>
        <v>0</v>
      </c>
      <c r="Y44" s="4"/>
      <c r="Z44" s="4">
        <f ca="1">('TUSD BE'!$AM$12+'TUSD BF'!$AM$12+'TUSD CVA'!$AM$12)*1</f>
        <v>100.14715657738388</v>
      </c>
      <c r="AA44" s="4"/>
      <c r="AB44" s="4">
        <f t="shared" si="0"/>
        <v>0</v>
      </c>
      <c r="AC44" s="4">
        <f t="shared" si="6"/>
        <v>0</v>
      </c>
      <c r="AD44" s="4">
        <f t="shared" si="2"/>
        <v>0</v>
      </c>
      <c r="AE44" s="4">
        <f t="shared" ca="1" si="7"/>
        <v>0</v>
      </c>
      <c r="AF44" s="3" t="s">
        <v>609</v>
      </c>
    </row>
    <row r="45" spans="1:32" ht="11.25" customHeight="1" x14ac:dyDescent="0.25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55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330.31299999999999</v>
      </c>
      <c r="M45" s="4">
        <v>330.31299999999999</v>
      </c>
      <c r="N45" s="4">
        <v>0</v>
      </c>
      <c r="O45" s="4">
        <v>0</v>
      </c>
      <c r="P45" s="4">
        <v>0</v>
      </c>
      <c r="Q45" s="3" t="s">
        <v>56</v>
      </c>
      <c r="R45" s="3">
        <v>0</v>
      </c>
      <c r="S45" s="3">
        <v>0</v>
      </c>
      <c r="T45" s="3">
        <v>15</v>
      </c>
      <c r="U45" s="3">
        <v>0</v>
      </c>
      <c r="V45" s="4">
        <f>IF(ISERROR(VLOOKUP($S$45,'TAR FIN'!$A$1:$O$85,15,0)),0,VLOOKUP($S$45,'TAR FIN'!$A$1:$O$85,15,0))</f>
        <v>0</v>
      </c>
      <c r="W45" s="4">
        <f>IF(ISERROR(VLOOKUP($T$45,'TAR FIN'!$A$1:$O$85,15,0)),0,VLOOKUP($T$45,'TAR FIN'!$A$1:$O$85,15,0))</f>
        <v>56.92</v>
      </c>
      <c r="X45" s="4">
        <f>IF(ISERROR(VLOOKUP($U$45,'TAR FIN'!$A$1:$O$85,15,0)),0,VLOOKUP($U$45,'TAR FIN'!$A$1:$O$85,15,0))</f>
        <v>0</v>
      </c>
      <c r="Y45" s="4"/>
      <c r="Z45" s="4">
        <f ca="1">('TUSD BE'!$AM$12+'TUSD BF'!$AM$12+'TUSD CVA'!$AM$12)*1</f>
        <v>100.14715657738388</v>
      </c>
      <c r="AA45" s="4"/>
      <c r="AB45" s="4">
        <f t="shared" si="0"/>
        <v>0</v>
      </c>
      <c r="AC45" s="4">
        <f t="shared" si="6"/>
        <v>0</v>
      </c>
      <c r="AD45" s="4">
        <f t="shared" si="2"/>
        <v>0</v>
      </c>
      <c r="AE45" s="4">
        <f t="shared" ca="1" si="7"/>
        <v>0</v>
      </c>
      <c r="AF45" s="3" t="s">
        <v>609</v>
      </c>
    </row>
    <row r="46" spans="1:32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55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425.762</v>
      </c>
      <c r="M46" s="4">
        <v>425.762</v>
      </c>
      <c r="N46" s="4">
        <v>0</v>
      </c>
      <c r="O46" s="4">
        <v>0</v>
      </c>
      <c r="P46" s="4">
        <v>0</v>
      </c>
      <c r="Q46" s="3" t="s">
        <v>56</v>
      </c>
      <c r="R46" s="3">
        <v>0</v>
      </c>
      <c r="S46" s="3">
        <v>0</v>
      </c>
      <c r="T46" s="3">
        <v>15</v>
      </c>
      <c r="U46" s="3">
        <v>0</v>
      </c>
      <c r="V46" s="4">
        <f>IF(ISERROR(VLOOKUP($S$46,'TAR FIN'!$A$1:$O$85,15,0)),0,VLOOKUP($S$46,'TAR FIN'!$A$1:$O$85,15,0))</f>
        <v>0</v>
      </c>
      <c r="W46" s="4">
        <f>IF(ISERROR(VLOOKUP($T$46,'TAR FIN'!$A$1:$O$85,15,0)),0,VLOOKUP($T$46,'TAR FIN'!$A$1:$O$85,15,0))</f>
        <v>56.92</v>
      </c>
      <c r="X46" s="4">
        <f>IF(ISERROR(VLOOKUP($U$46,'TAR FIN'!$A$1:$O$85,15,0)),0,VLOOKUP($U$46,'TAR FIN'!$A$1:$O$85,15,0))</f>
        <v>0</v>
      </c>
      <c r="Y46" s="4"/>
      <c r="Z46" s="4">
        <f ca="1">('TUSD BE'!$AM$12+'TUSD BF'!$AM$12+'TUSD CVA'!$AM$12)*1</f>
        <v>100.14715657738388</v>
      </c>
      <c r="AA46" s="4"/>
      <c r="AB46" s="4">
        <f t="shared" si="0"/>
        <v>0</v>
      </c>
      <c r="AC46" s="4">
        <f t="shared" si="6"/>
        <v>0</v>
      </c>
      <c r="AD46" s="4">
        <f t="shared" si="2"/>
        <v>0</v>
      </c>
      <c r="AE46" s="4">
        <f t="shared" ca="1" si="7"/>
        <v>0</v>
      </c>
      <c r="AF46" s="3" t="s">
        <v>609</v>
      </c>
    </row>
    <row r="47" spans="1:32" ht="11.25" customHeight="1" x14ac:dyDescent="0.25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55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229.59800000000001</v>
      </c>
      <c r="M47" s="4">
        <v>229.59800000000001</v>
      </c>
      <c r="N47" s="4">
        <v>0</v>
      </c>
      <c r="O47" s="4">
        <v>0</v>
      </c>
      <c r="P47" s="4">
        <v>0</v>
      </c>
      <c r="Q47" s="3" t="s">
        <v>56</v>
      </c>
      <c r="R47" s="3">
        <v>0</v>
      </c>
      <c r="S47" s="3">
        <v>0</v>
      </c>
      <c r="T47" s="3">
        <v>15</v>
      </c>
      <c r="U47" s="3">
        <v>0</v>
      </c>
      <c r="V47" s="4">
        <f>IF(ISERROR(VLOOKUP($S$47,'TAR FIN'!$A$1:$O$85,15,0)),0,VLOOKUP($S$47,'TAR FIN'!$A$1:$O$85,15,0))</f>
        <v>0</v>
      </c>
      <c r="W47" s="4">
        <f>IF(ISERROR(VLOOKUP($T$47,'TAR FIN'!$A$1:$O$85,15,0)),0,VLOOKUP($T$47,'TAR FIN'!$A$1:$O$85,15,0))</f>
        <v>56.92</v>
      </c>
      <c r="X47" s="4">
        <f>IF(ISERROR(VLOOKUP($U$47,'TAR FIN'!$A$1:$O$85,15,0)),0,VLOOKUP($U$47,'TAR FIN'!$A$1:$O$85,15,0))</f>
        <v>0</v>
      </c>
      <c r="Y47" s="4"/>
      <c r="Z47" s="4">
        <f ca="1">('TUSD BE'!$AM$12+'TUSD BF'!$AM$12+'TUSD CVA'!$AM$12)*1</f>
        <v>100.14715657738388</v>
      </c>
      <c r="AA47" s="4"/>
      <c r="AB47" s="4">
        <f t="shared" si="0"/>
        <v>0</v>
      </c>
      <c r="AC47" s="4">
        <f t="shared" si="6"/>
        <v>0</v>
      </c>
      <c r="AD47" s="4">
        <f t="shared" si="2"/>
        <v>0</v>
      </c>
      <c r="AE47" s="4">
        <f t="shared" ca="1" si="7"/>
        <v>0</v>
      </c>
      <c r="AF47" s="3" t="s">
        <v>609</v>
      </c>
    </row>
    <row r="48" spans="1:32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55</v>
      </c>
      <c r="G48" s="3" t="s">
        <v>25</v>
      </c>
      <c r="H48" s="3" t="s">
        <v>38</v>
      </c>
      <c r="I48" s="6">
        <v>44743</v>
      </c>
      <c r="J48" s="4">
        <v>0</v>
      </c>
      <c r="K48" s="4">
        <v>0</v>
      </c>
      <c r="L48" s="4">
        <v>248.518</v>
      </c>
      <c r="M48" s="4">
        <v>248.518</v>
      </c>
      <c r="N48" s="4">
        <v>0</v>
      </c>
      <c r="O48" s="4">
        <v>0</v>
      </c>
      <c r="P48" s="4">
        <v>0</v>
      </c>
      <c r="Q48" s="3" t="s">
        <v>56</v>
      </c>
      <c r="R48" s="3">
        <v>0</v>
      </c>
      <c r="S48" s="3">
        <v>0</v>
      </c>
      <c r="T48" s="3">
        <v>15</v>
      </c>
      <c r="U48" s="3">
        <v>0</v>
      </c>
      <c r="V48" s="4">
        <f>IF(ISERROR(VLOOKUP($S$48,'TAR FIN'!$A$1:$O$85,15,0)),0,VLOOKUP($S$48,'TAR FIN'!$A$1:$O$85,15,0))</f>
        <v>0</v>
      </c>
      <c r="W48" s="4">
        <f>IF(ISERROR(VLOOKUP($T$48,'TAR FIN'!$A$1:$O$85,15,0)),0,VLOOKUP($T$48,'TAR FIN'!$A$1:$O$85,15,0))</f>
        <v>56.92</v>
      </c>
      <c r="X48" s="4">
        <f>IF(ISERROR(VLOOKUP($U$48,'TAR FIN'!$A$1:$O$85,15,0)),0,VLOOKUP($U$48,'TAR FIN'!$A$1:$O$85,15,0))</f>
        <v>0</v>
      </c>
      <c r="Y48" s="4"/>
      <c r="Z48" s="4">
        <f ca="1">('TUSD BE'!$AM$12+'TUSD BF'!$AM$12+'TUSD CVA'!$AM$12)*1</f>
        <v>100.14715657738388</v>
      </c>
      <c r="AA48" s="4"/>
      <c r="AB48" s="4">
        <f t="shared" si="0"/>
        <v>0</v>
      </c>
      <c r="AC48" s="4">
        <f t="shared" si="6"/>
        <v>0</v>
      </c>
      <c r="AD48" s="4">
        <f t="shared" si="2"/>
        <v>0</v>
      </c>
      <c r="AE48" s="4">
        <f t="shared" ca="1" si="7"/>
        <v>0</v>
      </c>
      <c r="AF48" s="3" t="s">
        <v>609</v>
      </c>
    </row>
    <row r="49" spans="1:32" ht="11.25" customHeight="1" x14ac:dyDescent="0.25">
      <c r="A49" s="3" t="s">
        <v>21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55</v>
      </c>
      <c r="G49" s="3" t="s">
        <v>25</v>
      </c>
      <c r="H49" s="3" t="s">
        <v>38</v>
      </c>
      <c r="I49" s="6">
        <v>44774</v>
      </c>
      <c r="J49" s="4">
        <v>0</v>
      </c>
      <c r="K49" s="4">
        <v>0</v>
      </c>
      <c r="L49" s="4">
        <v>309.75900000000001</v>
      </c>
      <c r="M49" s="4">
        <v>309.75900000000001</v>
      </c>
      <c r="N49" s="4">
        <v>0</v>
      </c>
      <c r="O49" s="4">
        <v>0</v>
      </c>
      <c r="P49" s="4">
        <v>0</v>
      </c>
      <c r="Q49" s="3" t="s">
        <v>56</v>
      </c>
      <c r="R49" s="3">
        <v>0</v>
      </c>
      <c r="S49" s="3">
        <v>0</v>
      </c>
      <c r="T49" s="3">
        <v>15</v>
      </c>
      <c r="U49" s="3">
        <v>0</v>
      </c>
      <c r="V49" s="4">
        <f>IF(ISERROR(VLOOKUP($S$49,'TAR FIN'!$A$1:$O$85,15,0)),0,VLOOKUP($S$49,'TAR FIN'!$A$1:$O$85,15,0))</f>
        <v>0</v>
      </c>
      <c r="W49" s="4">
        <f>IF(ISERROR(VLOOKUP($T$49,'TAR FIN'!$A$1:$O$85,15,0)),0,VLOOKUP($T$49,'TAR FIN'!$A$1:$O$85,15,0))</f>
        <v>56.92</v>
      </c>
      <c r="X49" s="4">
        <f>IF(ISERROR(VLOOKUP($U$49,'TAR FIN'!$A$1:$O$85,15,0)),0,VLOOKUP($U$49,'TAR FIN'!$A$1:$O$85,15,0))</f>
        <v>0</v>
      </c>
      <c r="Y49" s="4"/>
      <c r="Z49" s="4">
        <f ca="1">('TUSD BE'!$AM$12+'TUSD BF'!$AM$12+'TUSD CVA'!$AM$12)*1</f>
        <v>100.14715657738388</v>
      </c>
      <c r="AA49" s="4"/>
      <c r="AB49" s="4">
        <f t="shared" si="0"/>
        <v>0</v>
      </c>
      <c r="AC49" s="4">
        <f t="shared" si="6"/>
        <v>0</v>
      </c>
      <c r="AD49" s="4">
        <f t="shared" si="2"/>
        <v>0</v>
      </c>
      <c r="AE49" s="4">
        <f t="shared" ca="1" si="7"/>
        <v>0</v>
      </c>
      <c r="AF49" s="3" t="s">
        <v>609</v>
      </c>
    </row>
    <row r="50" spans="1:32" ht="11.25" customHeight="1" x14ac:dyDescent="0.25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55</v>
      </c>
      <c r="G50" s="3" t="s">
        <v>25</v>
      </c>
      <c r="H50" s="3" t="s">
        <v>25</v>
      </c>
      <c r="I50" s="6">
        <v>44440</v>
      </c>
      <c r="J50" s="4">
        <v>540</v>
      </c>
      <c r="K50" s="4">
        <v>270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3" t="s">
        <v>56</v>
      </c>
      <c r="R50" s="3">
        <v>0</v>
      </c>
      <c r="S50" s="3">
        <v>22</v>
      </c>
      <c r="T50" s="3">
        <v>0</v>
      </c>
      <c r="U50" s="3">
        <v>0</v>
      </c>
      <c r="V50" s="4">
        <f>IF(ISERROR(VLOOKUP($S$50,'TAR FIN'!$A$1:$O$85,15,0)),0,VLOOKUP($S$50,'TAR FIN'!$A$1:$O$85,15,0))</f>
        <v>22.34</v>
      </c>
      <c r="W50" s="4">
        <f>IF(ISERROR(VLOOKUP($T$50,'TAR FIN'!$A$1:$O$85,15,0)),0,VLOOKUP($T$50,'TAR FIN'!$A$1:$O$85,15,0))</f>
        <v>0</v>
      </c>
      <c r="X50" s="4">
        <f>IF(ISERROR(VLOOKUP($U$50,'TAR FIN'!$A$1:$O$85,15,0)),0,VLOOKUP($U$50,'TAR FIN'!$A$1:$O$85,15,0))</f>
        <v>0</v>
      </c>
      <c r="Y50" s="4">
        <f ca="1">('TUSD BE'!$AM$10+'TUSD BF'!$AM$10+'TUSD CVA'!$AM$10)*1</f>
        <v>28.040256427516418</v>
      </c>
      <c r="Z50" s="4"/>
      <c r="AA50" s="4"/>
      <c r="AB50" s="4">
        <f t="shared" si="0"/>
        <v>6031.8</v>
      </c>
      <c r="AC50" s="4">
        <f t="shared" si="6"/>
        <v>0</v>
      </c>
      <c r="AD50" s="4">
        <f t="shared" ca="1" si="2"/>
        <v>7570.8692354294326</v>
      </c>
      <c r="AE50" s="4">
        <f t="shared" si="7"/>
        <v>0</v>
      </c>
      <c r="AF50" s="3" t="s">
        <v>609</v>
      </c>
    </row>
    <row r="51" spans="1:32" ht="11.25" customHeight="1" x14ac:dyDescent="0.25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55</v>
      </c>
      <c r="G51" s="3" t="s">
        <v>25</v>
      </c>
      <c r="H51" s="3" t="s">
        <v>25</v>
      </c>
      <c r="I51" s="6">
        <v>44470</v>
      </c>
      <c r="J51" s="4">
        <v>540</v>
      </c>
      <c r="K51" s="4">
        <v>270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3" t="s">
        <v>56</v>
      </c>
      <c r="R51" s="3">
        <v>0</v>
      </c>
      <c r="S51" s="3">
        <v>22</v>
      </c>
      <c r="T51" s="3">
        <v>0</v>
      </c>
      <c r="U51" s="3">
        <v>0</v>
      </c>
      <c r="V51" s="4">
        <f>IF(ISERROR(VLOOKUP($S$51,'TAR FIN'!$A$1:$O$85,15,0)),0,VLOOKUP($S$51,'TAR FIN'!$A$1:$O$85,15,0))</f>
        <v>22.34</v>
      </c>
      <c r="W51" s="4">
        <f>IF(ISERROR(VLOOKUP($T$51,'TAR FIN'!$A$1:$O$85,15,0)),0,VLOOKUP($T$51,'TAR FIN'!$A$1:$O$85,15,0))</f>
        <v>0</v>
      </c>
      <c r="X51" s="4">
        <f>IF(ISERROR(VLOOKUP($U$51,'TAR FIN'!$A$1:$O$85,15,0)),0,VLOOKUP($U$51,'TAR FIN'!$A$1:$O$85,15,0))</f>
        <v>0</v>
      </c>
      <c r="Y51" s="4">
        <f ca="1">('TUSD BE'!$AM$10+'TUSD BF'!$AM$10+'TUSD CVA'!$AM$10)*1</f>
        <v>28.040256427516418</v>
      </c>
      <c r="Z51" s="4"/>
      <c r="AA51" s="4"/>
      <c r="AB51" s="4">
        <f t="shared" si="0"/>
        <v>6031.8</v>
      </c>
      <c r="AC51" s="4">
        <f t="shared" si="6"/>
        <v>0</v>
      </c>
      <c r="AD51" s="4">
        <f t="shared" ca="1" si="2"/>
        <v>7570.8692354294326</v>
      </c>
      <c r="AE51" s="4">
        <f t="shared" si="7"/>
        <v>0</v>
      </c>
      <c r="AF51" s="3" t="s">
        <v>609</v>
      </c>
    </row>
    <row r="52" spans="1:32" ht="11.25" customHeight="1" x14ac:dyDescent="0.25">
      <c r="A52" s="3" t="s">
        <v>21</v>
      </c>
      <c r="B52" s="3" t="s">
        <v>35</v>
      </c>
      <c r="C52" s="3" t="s">
        <v>36</v>
      </c>
      <c r="D52" s="3" t="s">
        <v>34</v>
      </c>
      <c r="E52" s="3" t="s">
        <v>25</v>
      </c>
      <c r="F52" s="3" t="s">
        <v>55</v>
      </c>
      <c r="G52" s="3" t="s">
        <v>25</v>
      </c>
      <c r="H52" s="3" t="s">
        <v>25</v>
      </c>
      <c r="I52" s="6">
        <v>44501</v>
      </c>
      <c r="J52" s="4">
        <v>540</v>
      </c>
      <c r="K52" s="4">
        <v>270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3" t="s">
        <v>56</v>
      </c>
      <c r="R52" s="3">
        <v>0</v>
      </c>
      <c r="S52" s="3">
        <v>22</v>
      </c>
      <c r="T52" s="3">
        <v>0</v>
      </c>
      <c r="U52" s="3">
        <v>0</v>
      </c>
      <c r="V52" s="4">
        <f>IF(ISERROR(VLOOKUP($S$52,'TAR FIN'!$A$1:$O$85,15,0)),0,VLOOKUP($S$52,'TAR FIN'!$A$1:$O$85,15,0))</f>
        <v>22.34</v>
      </c>
      <c r="W52" s="4">
        <f>IF(ISERROR(VLOOKUP($T$52,'TAR FIN'!$A$1:$O$85,15,0)),0,VLOOKUP($T$52,'TAR FIN'!$A$1:$O$85,15,0))</f>
        <v>0</v>
      </c>
      <c r="X52" s="4">
        <f>IF(ISERROR(VLOOKUP($U$52,'TAR FIN'!$A$1:$O$85,15,0)),0,VLOOKUP($U$52,'TAR FIN'!$A$1:$O$85,15,0))</f>
        <v>0</v>
      </c>
      <c r="Y52" s="4">
        <f ca="1">('TUSD BE'!$AM$10+'TUSD BF'!$AM$10+'TUSD CVA'!$AM$10)*1</f>
        <v>28.040256427516418</v>
      </c>
      <c r="Z52" s="4"/>
      <c r="AA52" s="4"/>
      <c r="AB52" s="4">
        <f t="shared" si="0"/>
        <v>6031.8</v>
      </c>
      <c r="AC52" s="4">
        <f t="shared" si="6"/>
        <v>0</v>
      </c>
      <c r="AD52" s="4">
        <f t="shared" ca="1" si="2"/>
        <v>7570.8692354294326</v>
      </c>
      <c r="AE52" s="4">
        <f t="shared" si="7"/>
        <v>0</v>
      </c>
      <c r="AF52" s="3" t="s">
        <v>609</v>
      </c>
    </row>
    <row r="53" spans="1:32" ht="11.25" customHeight="1" x14ac:dyDescent="0.25">
      <c r="A53" s="3" t="s">
        <v>21</v>
      </c>
      <c r="B53" s="3" t="s">
        <v>35</v>
      </c>
      <c r="C53" s="3" t="s">
        <v>36</v>
      </c>
      <c r="D53" s="3" t="s">
        <v>34</v>
      </c>
      <c r="E53" s="3" t="s">
        <v>25</v>
      </c>
      <c r="F53" s="3" t="s">
        <v>55</v>
      </c>
      <c r="G53" s="3" t="s">
        <v>25</v>
      </c>
      <c r="H53" s="3" t="s">
        <v>25</v>
      </c>
      <c r="I53" s="6">
        <v>44531</v>
      </c>
      <c r="J53" s="4">
        <v>554</v>
      </c>
      <c r="K53" s="4">
        <v>277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3" t="s">
        <v>56</v>
      </c>
      <c r="R53" s="3">
        <v>0</v>
      </c>
      <c r="S53" s="3">
        <v>22</v>
      </c>
      <c r="T53" s="3">
        <v>0</v>
      </c>
      <c r="U53" s="3">
        <v>0</v>
      </c>
      <c r="V53" s="4">
        <f>IF(ISERROR(VLOOKUP($S$53,'TAR FIN'!$A$1:$O$85,15,0)),0,VLOOKUP($S$53,'TAR FIN'!$A$1:$O$85,15,0))</f>
        <v>22.34</v>
      </c>
      <c r="W53" s="4">
        <f>IF(ISERROR(VLOOKUP($T$53,'TAR FIN'!$A$1:$O$85,15,0)),0,VLOOKUP($T$53,'TAR FIN'!$A$1:$O$85,15,0))</f>
        <v>0</v>
      </c>
      <c r="X53" s="4">
        <f>IF(ISERROR(VLOOKUP($U$53,'TAR FIN'!$A$1:$O$85,15,0)),0,VLOOKUP($U$53,'TAR FIN'!$A$1:$O$85,15,0))</f>
        <v>0</v>
      </c>
      <c r="Y53" s="4">
        <f ca="1">('TUSD BE'!$AM$10+'TUSD BF'!$AM$10+'TUSD CVA'!$AM$10)*1</f>
        <v>28.040256427516418</v>
      </c>
      <c r="Z53" s="4"/>
      <c r="AA53" s="4"/>
      <c r="AB53" s="4">
        <f t="shared" si="0"/>
        <v>6188.18</v>
      </c>
      <c r="AC53" s="4">
        <f t="shared" si="6"/>
        <v>0</v>
      </c>
      <c r="AD53" s="4">
        <f t="shared" ca="1" si="2"/>
        <v>7767.1510304220474</v>
      </c>
      <c r="AE53" s="4">
        <f t="shared" si="7"/>
        <v>0</v>
      </c>
      <c r="AF53" s="3" t="s">
        <v>609</v>
      </c>
    </row>
    <row r="54" spans="1:32" ht="11.25" customHeight="1" x14ac:dyDescent="0.25">
      <c r="A54" s="3" t="s">
        <v>21</v>
      </c>
      <c r="B54" s="3" t="s">
        <v>35</v>
      </c>
      <c r="C54" s="3" t="s">
        <v>36</v>
      </c>
      <c r="D54" s="3" t="s">
        <v>34</v>
      </c>
      <c r="E54" s="3" t="s">
        <v>25</v>
      </c>
      <c r="F54" s="3" t="s">
        <v>55</v>
      </c>
      <c r="G54" s="3" t="s">
        <v>25</v>
      </c>
      <c r="H54" s="3" t="s">
        <v>25</v>
      </c>
      <c r="I54" s="6">
        <v>44562</v>
      </c>
      <c r="J54" s="4">
        <v>561</v>
      </c>
      <c r="K54" s="4">
        <v>280.5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3" t="s">
        <v>56</v>
      </c>
      <c r="R54" s="3">
        <v>0</v>
      </c>
      <c r="S54" s="3">
        <v>22</v>
      </c>
      <c r="T54" s="3">
        <v>0</v>
      </c>
      <c r="U54" s="3">
        <v>0</v>
      </c>
      <c r="V54" s="4">
        <f>IF(ISERROR(VLOOKUP($S$54,'TAR FIN'!$A$1:$O$85,15,0)),0,VLOOKUP($S$54,'TAR FIN'!$A$1:$O$85,15,0))</f>
        <v>22.34</v>
      </c>
      <c r="W54" s="4">
        <f>IF(ISERROR(VLOOKUP($T$54,'TAR FIN'!$A$1:$O$85,15,0)),0,VLOOKUP($T$54,'TAR FIN'!$A$1:$O$85,15,0))</f>
        <v>0</v>
      </c>
      <c r="X54" s="4">
        <f>IF(ISERROR(VLOOKUP($U$54,'TAR FIN'!$A$1:$O$85,15,0)),0,VLOOKUP($U$54,'TAR FIN'!$A$1:$O$85,15,0))</f>
        <v>0</v>
      </c>
      <c r="Y54" s="4">
        <f ca="1">('TUSD BE'!$AM$10+'TUSD BF'!$AM$10+'TUSD CVA'!$AM$10)*1</f>
        <v>28.040256427516418</v>
      </c>
      <c r="Z54" s="4"/>
      <c r="AA54" s="4"/>
      <c r="AB54" s="4">
        <f t="shared" si="0"/>
        <v>6266.37</v>
      </c>
      <c r="AC54" s="4">
        <f t="shared" si="6"/>
        <v>0</v>
      </c>
      <c r="AD54" s="4">
        <f t="shared" ca="1" si="2"/>
        <v>7865.2919279183552</v>
      </c>
      <c r="AE54" s="4">
        <f t="shared" si="7"/>
        <v>0</v>
      </c>
      <c r="AF54" s="3" t="s">
        <v>609</v>
      </c>
    </row>
    <row r="55" spans="1:32" ht="11.25" customHeight="1" x14ac:dyDescent="0.25">
      <c r="A55" s="3" t="s">
        <v>21</v>
      </c>
      <c r="B55" s="3" t="s">
        <v>35</v>
      </c>
      <c r="C55" s="3" t="s">
        <v>36</v>
      </c>
      <c r="D55" s="3" t="s">
        <v>34</v>
      </c>
      <c r="E55" s="3" t="s">
        <v>25</v>
      </c>
      <c r="F55" s="3" t="s">
        <v>55</v>
      </c>
      <c r="G55" s="3" t="s">
        <v>25</v>
      </c>
      <c r="H55" s="3" t="s">
        <v>25</v>
      </c>
      <c r="I55" s="6">
        <v>44593</v>
      </c>
      <c r="J55" s="4">
        <v>598</v>
      </c>
      <c r="K55" s="4">
        <v>299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3" t="s">
        <v>56</v>
      </c>
      <c r="R55" s="3">
        <v>0</v>
      </c>
      <c r="S55" s="3">
        <v>22</v>
      </c>
      <c r="T55" s="3">
        <v>0</v>
      </c>
      <c r="U55" s="3">
        <v>0</v>
      </c>
      <c r="V55" s="4">
        <f>IF(ISERROR(VLOOKUP($S$55,'TAR FIN'!$A$1:$O$85,15,0)),0,VLOOKUP($S$55,'TAR FIN'!$A$1:$O$85,15,0))</f>
        <v>22.34</v>
      </c>
      <c r="W55" s="4">
        <f>IF(ISERROR(VLOOKUP($T$55,'TAR FIN'!$A$1:$O$85,15,0)),0,VLOOKUP($T$55,'TAR FIN'!$A$1:$O$85,15,0))</f>
        <v>0</v>
      </c>
      <c r="X55" s="4">
        <f>IF(ISERROR(VLOOKUP($U$55,'TAR FIN'!$A$1:$O$85,15,0)),0,VLOOKUP($U$55,'TAR FIN'!$A$1:$O$85,15,0))</f>
        <v>0</v>
      </c>
      <c r="Y55" s="4">
        <f ca="1">('TUSD BE'!$AM$10+'TUSD BF'!$AM$10+'TUSD CVA'!$AM$10)*1</f>
        <v>28.040256427516418</v>
      </c>
      <c r="Z55" s="4"/>
      <c r="AA55" s="4"/>
      <c r="AB55" s="4">
        <f t="shared" si="0"/>
        <v>6679.66</v>
      </c>
      <c r="AC55" s="4">
        <f t="shared" si="6"/>
        <v>0</v>
      </c>
      <c r="AD55" s="4">
        <f t="shared" ca="1" si="2"/>
        <v>8384.036671827409</v>
      </c>
      <c r="AE55" s="4">
        <f t="shared" si="7"/>
        <v>0</v>
      </c>
      <c r="AF55" s="3" t="s">
        <v>609</v>
      </c>
    </row>
    <row r="56" spans="1:32" ht="11.25" customHeight="1" x14ac:dyDescent="0.25">
      <c r="A56" s="3" t="s">
        <v>21</v>
      </c>
      <c r="B56" s="3" t="s">
        <v>35</v>
      </c>
      <c r="C56" s="3" t="s">
        <v>36</v>
      </c>
      <c r="D56" s="3" t="s">
        <v>34</v>
      </c>
      <c r="E56" s="3" t="s">
        <v>25</v>
      </c>
      <c r="F56" s="3" t="s">
        <v>55</v>
      </c>
      <c r="G56" s="3" t="s">
        <v>25</v>
      </c>
      <c r="H56" s="3" t="s">
        <v>25</v>
      </c>
      <c r="I56" s="6">
        <v>44621</v>
      </c>
      <c r="J56" s="4">
        <v>601</v>
      </c>
      <c r="K56" s="4">
        <v>300.5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3" t="s">
        <v>56</v>
      </c>
      <c r="R56" s="3">
        <v>0</v>
      </c>
      <c r="S56" s="3">
        <v>22</v>
      </c>
      <c r="T56" s="3">
        <v>0</v>
      </c>
      <c r="U56" s="3">
        <v>0</v>
      </c>
      <c r="V56" s="4">
        <f>IF(ISERROR(VLOOKUP($S$56,'TAR FIN'!$A$1:$O$85,15,0)),0,VLOOKUP($S$56,'TAR FIN'!$A$1:$O$85,15,0))</f>
        <v>22.34</v>
      </c>
      <c r="W56" s="4">
        <f>IF(ISERROR(VLOOKUP($T$56,'TAR FIN'!$A$1:$O$85,15,0)),0,VLOOKUP($T$56,'TAR FIN'!$A$1:$O$85,15,0))</f>
        <v>0</v>
      </c>
      <c r="X56" s="4">
        <f>IF(ISERROR(VLOOKUP($U$56,'TAR FIN'!$A$1:$O$85,15,0)),0,VLOOKUP($U$56,'TAR FIN'!$A$1:$O$85,15,0))</f>
        <v>0</v>
      </c>
      <c r="Y56" s="4">
        <f ca="1">('TUSD BE'!$AM$10+'TUSD BF'!$AM$10+'TUSD CVA'!$AM$10)*1</f>
        <v>28.040256427516418</v>
      </c>
      <c r="Z56" s="4"/>
      <c r="AA56" s="4"/>
      <c r="AB56" s="4">
        <f t="shared" si="0"/>
        <v>6713.17</v>
      </c>
      <c r="AC56" s="4">
        <f t="shared" si="6"/>
        <v>0</v>
      </c>
      <c r="AD56" s="4">
        <f t="shared" ca="1" si="2"/>
        <v>8426.0970564686831</v>
      </c>
      <c r="AE56" s="4">
        <f t="shared" si="7"/>
        <v>0</v>
      </c>
      <c r="AF56" s="3" t="s">
        <v>609</v>
      </c>
    </row>
    <row r="57" spans="1:32" ht="11.25" customHeight="1" x14ac:dyDescent="0.25">
      <c r="A57" s="3" t="s">
        <v>21</v>
      </c>
      <c r="B57" s="3" t="s">
        <v>35</v>
      </c>
      <c r="C57" s="3" t="s">
        <v>36</v>
      </c>
      <c r="D57" s="3" t="s">
        <v>34</v>
      </c>
      <c r="E57" s="3" t="s">
        <v>25</v>
      </c>
      <c r="F57" s="3" t="s">
        <v>55</v>
      </c>
      <c r="G57" s="3" t="s">
        <v>25</v>
      </c>
      <c r="H57" s="3" t="s">
        <v>25</v>
      </c>
      <c r="I57" s="6">
        <v>44652</v>
      </c>
      <c r="J57" s="4">
        <v>605</v>
      </c>
      <c r="K57" s="4">
        <v>302.5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3" t="s">
        <v>56</v>
      </c>
      <c r="R57" s="3">
        <v>0</v>
      </c>
      <c r="S57" s="3">
        <v>22</v>
      </c>
      <c r="T57" s="3">
        <v>0</v>
      </c>
      <c r="U57" s="3">
        <v>0</v>
      </c>
      <c r="V57" s="4">
        <f>IF(ISERROR(VLOOKUP($S$57,'TAR FIN'!$A$1:$O$85,15,0)),0,VLOOKUP($S$57,'TAR FIN'!$A$1:$O$85,15,0))</f>
        <v>22.34</v>
      </c>
      <c r="W57" s="4">
        <f>IF(ISERROR(VLOOKUP($T$57,'TAR FIN'!$A$1:$O$85,15,0)),0,VLOOKUP($T$57,'TAR FIN'!$A$1:$O$85,15,0))</f>
        <v>0</v>
      </c>
      <c r="X57" s="4">
        <f>IF(ISERROR(VLOOKUP($U$57,'TAR FIN'!$A$1:$O$85,15,0)),0,VLOOKUP($U$57,'TAR FIN'!$A$1:$O$85,15,0))</f>
        <v>0</v>
      </c>
      <c r="Y57" s="4">
        <f ca="1">('TUSD BE'!$AM$10+'TUSD BF'!$AM$10+'TUSD CVA'!$AM$10)*1</f>
        <v>28.040256427516418</v>
      </c>
      <c r="Z57" s="4"/>
      <c r="AA57" s="4"/>
      <c r="AB57" s="4">
        <f t="shared" si="0"/>
        <v>6757.85</v>
      </c>
      <c r="AC57" s="4">
        <f t="shared" si="6"/>
        <v>0</v>
      </c>
      <c r="AD57" s="4">
        <f t="shared" ca="1" si="2"/>
        <v>8482.1775693237159</v>
      </c>
      <c r="AE57" s="4">
        <f t="shared" si="7"/>
        <v>0</v>
      </c>
      <c r="AF57" s="3" t="s">
        <v>609</v>
      </c>
    </row>
    <row r="58" spans="1:32" ht="11.25" customHeight="1" x14ac:dyDescent="0.25">
      <c r="A58" s="3" t="s">
        <v>21</v>
      </c>
      <c r="B58" s="3" t="s">
        <v>35</v>
      </c>
      <c r="C58" s="3" t="s">
        <v>36</v>
      </c>
      <c r="D58" s="3" t="s">
        <v>34</v>
      </c>
      <c r="E58" s="3" t="s">
        <v>25</v>
      </c>
      <c r="F58" s="3" t="s">
        <v>55</v>
      </c>
      <c r="G58" s="3" t="s">
        <v>25</v>
      </c>
      <c r="H58" s="3" t="s">
        <v>25</v>
      </c>
      <c r="I58" s="6">
        <v>44682</v>
      </c>
      <c r="J58" s="4">
        <v>1198</v>
      </c>
      <c r="K58" s="4">
        <v>599</v>
      </c>
      <c r="L58" s="4">
        <v>0</v>
      </c>
      <c r="M58" s="4">
        <v>0</v>
      </c>
      <c r="N58" s="4">
        <v>0</v>
      </c>
      <c r="O58" s="4">
        <v>0</v>
      </c>
      <c r="P58" s="4">
        <v>2</v>
      </c>
      <c r="Q58" s="3" t="s">
        <v>56</v>
      </c>
      <c r="R58" s="3">
        <v>0</v>
      </c>
      <c r="S58" s="3">
        <v>22</v>
      </c>
      <c r="T58" s="3">
        <v>0</v>
      </c>
      <c r="U58" s="3">
        <v>0</v>
      </c>
      <c r="V58" s="4">
        <f>IF(ISERROR(VLOOKUP($S$58,'TAR FIN'!$A$1:$O$85,15,0)),0,VLOOKUP($S$58,'TAR FIN'!$A$1:$O$85,15,0))</f>
        <v>22.34</v>
      </c>
      <c r="W58" s="4">
        <f>IF(ISERROR(VLOOKUP($T$58,'TAR FIN'!$A$1:$O$85,15,0)),0,VLOOKUP($T$58,'TAR FIN'!$A$1:$O$85,15,0))</f>
        <v>0</v>
      </c>
      <c r="X58" s="4">
        <f>IF(ISERROR(VLOOKUP($U$58,'TAR FIN'!$A$1:$O$85,15,0)),0,VLOOKUP($U$58,'TAR FIN'!$A$1:$O$85,15,0))</f>
        <v>0</v>
      </c>
      <c r="Y58" s="4">
        <f ca="1">('TUSD BE'!$AM$10+'TUSD BF'!$AM$10+'TUSD CVA'!$AM$10)*1</f>
        <v>28.040256427516418</v>
      </c>
      <c r="Z58" s="4"/>
      <c r="AA58" s="4"/>
      <c r="AB58" s="4">
        <f t="shared" si="0"/>
        <v>13381.66</v>
      </c>
      <c r="AC58" s="4">
        <f t="shared" si="6"/>
        <v>0</v>
      </c>
      <c r="AD58" s="4">
        <f t="shared" ca="1" si="2"/>
        <v>16796.113600082335</v>
      </c>
      <c r="AE58" s="4">
        <f t="shared" si="7"/>
        <v>0</v>
      </c>
      <c r="AF58" s="3" t="s">
        <v>609</v>
      </c>
    </row>
    <row r="59" spans="1:32" ht="11.25" customHeight="1" x14ac:dyDescent="0.25">
      <c r="A59" s="3" t="s">
        <v>21</v>
      </c>
      <c r="B59" s="3" t="s">
        <v>35</v>
      </c>
      <c r="C59" s="3" t="s">
        <v>36</v>
      </c>
      <c r="D59" s="3" t="s">
        <v>34</v>
      </c>
      <c r="E59" s="3" t="s">
        <v>25</v>
      </c>
      <c r="F59" s="3" t="s">
        <v>55</v>
      </c>
      <c r="G59" s="3" t="s">
        <v>25</v>
      </c>
      <c r="H59" s="3" t="s">
        <v>25</v>
      </c>
      <c r="I59" s="6">
        <v>44713</v>
      </c>
      <c r="J59" s="4">
        <v>1195</v>
      </c>
      <c r="K59" s="4">
        <v>597.5</v>
      </c>
      <c r="L59" s="4">
        <v>0</v>
      </c>
      <c r="M59" s="4">
        <v>0</v>
      </c>
      <c r="N59" s="4">
        <v>0</v>
      </c>
      <c r="O59" s="4">
        <v>0</v>
      </c>
      <c r="P59" s="4">
        <v>2</v>
      </c>
      <c r="Q59" s="3" t="s">
        <v>56</v>
      </c>
      <c r="R59" s="3">
        <v>0</v>
      </c>
      <c r="S59" s="3">
        <v>22</v>
      </c>
      <c r="T59" s="3">
        <v>0</v>
      </c>
      <c r="U59" s="3">
        <v>0</v>
      </c>
      <c r="V59" s="4">
        <f>IF(ISERROR(VLOOKUP($S$59,'TAR FIN'!$A$1:$O$85,15,0)),0,VLOOKUP($S$59,'TAR FIN'!$A$1:$O$85,15,0))</f>
        <v>22.34</v>
      </c>
      <c r="W59" s="4">
        <f>IF(ISERROR(VLOOKUP($T$59,'TAR FIN'!$A$1:$O$85,15,0)),0,VLOOKUP($T$59,'TAR FIN'!$A$1:$O$85,15,0))</f>
        <v>0</v>
      </c>
      <c r="X59" s="4">
        <f>IF(ISERROR(VLOOKUP($U$59,'TAR FIN'!$A$1:$O$85,15,0)),0,VLOOKUP($U$59,'TAR FIN'!$A$1:$O$85,15,0))</f>
        <v>0</v>
      </c>
      <c r="Y59" s="4">
        <f ca="1">('TUSD BE'!$AM$10+'TUSD BF'!$AM$10+'TUSD CVA'!$AM$10)*1</f>
        <v>28.040256427516418</v>
      </c>
      <c r="Z59" s="4"/>
      <c r="AA59" s="4"/>
      <c r="AB59" s="4">
        <f t="shared" si="0"/>
        <v>13348.15</v>
      </c>
      <c r="AC59" s="4">
        <f t="shared" si="6"/>
        <v>0</v>
      </c>
      <c r="AD59" s="4">
        <f t="shared" ca="1" si="2"/>
        <v>16754.053215441061</v>
      </c>
      <c r="AE59" s="4">
        <f t="shared" si="7"/>
        <v>0</v>
      </c>
      <c r="AF59" s="3" t="s">
        <v>609</v>
      </c>
    </row>
    <row r="60" spans="1:32" ht="11.25" customHeight="1" x14ac:dyDescent="0.25">
      <c r="A60" s="3" t="s">
        <v>21</v>
      </c>
      <c r="B60" s="3" t="s">
        <v>35</v>
      </c>
      <c r="C60" s="3" t="s">
        <v>36</v>
      </c>
      <c r="D60" s="3" t="s">
        <v>34</v>
      </c>
      <c r="E60" s="3" t="s">
        <v>25</v>
      </c>
      <c r="F60" s="3" t="s">
        <v>55</v>
      </c>
      <c r="G60" s="3" t="s">
        <v>25</v>
      </c>
      <c r="H60" s="3" t="s">
        <v>25</v>
      </c>
      <c r="I60" s="6">
        <v>44743</v>
      </c>
      <c r="J60" s="4">
        <v>1140</v>
      </c>
      <c r="K60" s="4">
        <v>570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3" t="s">
        <v>56</v>
      </c>
      <c r="R60" s="3">
        <v>0</v>
      </c>
      <c r="S60" s="3">
        <v>22</v>
      </c>
      <c r="T60" s="3">
        <v>0</v>
      </c>
      <c r="U60" s="3">
        <v>0</v>
      </c>
      <c r="V60" s="4">
        <f>IF(ISERROR(VLOOKUP($S$60,'TAR FIN'!$A$1:$O$85,15,0)),0,VLOOKUP($S$60,'TAR FIN'!$A$1:$O$85,15,0))</f>
        <v>22.34</v>
      </c>
      <c r="W60" s="4">
        <f>IF(ISERROR(VLOOKUP($T$60,'TAR FIN'!$A$1:$O$85,15,0)),0,VLOOKUP($T$60,'TAR FIN'!$A$1:$O$85,15,0))</f>
        <v>0</v>
      </c>
      <c r="X60" s="4">
        <f>IF(ISERROR(VLOOKUP($U$60,'TAR FIN'!$A$1:$O$85,15,0)),0,VLOOKUP($U$60,'TAR FIN'!$A$1:$O$85,15,0))</f>
        <v>0</v>
      </c>
      <c r="Y60" s="4">
        <f ca="1">('TUSD BE'!$AM$10+'TUSD BF'!$AM$10+'TUSD CVA'!$AM$10)*1</f>
        <v>28.040256427516418</v>
      </c>
      <c r="Z60" s="4"/>
      <c r="AA60" s="4"/>
      <c r="AB60" s="4">
        <f t="shared" si="0"/>
        <v>12733.8</v>
      </c>
      <c r="AC60" s="4">
        <f t="shared" si="6"/>
        <v>0</v>
      </c>
      <c r="AD60" s="4">
        <f t="shared" ca="1" si="2"/>
        <v>15982.946163684359</v>
      </c>
      <c r="AE60" s="4">
        <f t="shared" si="7"/>
        <v>0</v>
      </c>
      <c r="AF60" s="3" t="s">
        <v>609</v>
      </c>
    </row>
    <row r="61" spans="1:32" ht="11.25" customHeight="1" x14ac:dyDescent="0.25">
      <c r="A61" s="3" t="s">
        <v>21</v>
      </c>
      <c r="B61" s="3" t="s">
        <v>35</v>
      </c>
      <c r="C61" s="3" t="s">
        <v>36</v>
      </c>
      <c r="D61" s="3" t="s">
        <v>34</v>
      </c>
      <c r="E61" s="3" t="s">
        <v>25</v>
      </c>
      <c r="F61" s="3" t="s">
        <v>55</v>
      </c>
      <c r="G61" s="3" t="s">
        <v>25</v>
      </c>
      <c r="H61" s="3" t="s">
        <v>25</v>
      </c>
      <c r="I61" s="6">
        <v>44774</v>
      </c>
      <c r="J61" s="4">
        <v>1140</v>
      </c>
      <c r="K61" s="4">
        <v>570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3" t="s">
        <v>56</v>
      </c>
      <c r="R61" s="3">
        <v>0</v>
      </c>
      <c r="S61" s="3">
        <v>22</v>
      </c>
      <c r="T61" s="3">
        <v>0</v>
      </c>
      <c r="U61" s="3">
        <v>0</v>
      </c>
      <c r="V61" s="4">
        <f>IF(ISERROR(VLOOKUP($S$61,'TAR FIN'!$A$1:$O$85,15,0)),0,VLOOKUP($S$61,'TAR FIN'!$A$1:$O$85,15,0))</f>
        <v>22.34</v>
      </c>
      <c r="W61" s="4">
        <f>IF(ISERROR(VLOOKUP($T$61,'TAR FIN'!$A$1:$O$85,15,0)),0,VLOOKUP($T$61,'TAR FIN'!$A$1:$O$85,15,0))</f>
        <v>0</v>
      </c>
      <c r="X61" s="4">
        <f>IF(ISERROR(VLOOKUP($U$61,'TAR FIN'!$A$1:$O$85,15,0)),0,VLOOKUP($U$61,'TAR FIN'!$A$1:$O$85,15,0))</f>
        <v>0</v>
      </c>
      <c r="Y61" s="4">
        <f ca="1">('TUSD BE'!$AM$10+'TUSD BF'!$AM$10+'TUSD CVA'!$AM$10)*1</f>
        <v>28.040256427516418</v>
      </c>
      <c r="Z61" s="4"/>
      <c r="AA61" s="4"/>
      <c r="AB61" s="4">
        <f t="shared" si="0"/>
        <v>12733.8</v>
      </c>
      <c r="AC61" s="4">
        <f t="shared" si="6"/>
        <v>0</v>
      </c>
      <c r="AD61" s="4">
        <f t="shared" ca="1" si="2"/>
        <v>15982.946163684359</v>
      </c>
      <c r="AE61" s="4">
        <f t="shared" si="7"/>
        <v>0</v>
      </c>
      <c r="AF61" s="3" t="s">
        <v>609</v>
      </c>
    </row>
    <row r="62" spans="1:32" ht="11.25" customHeight="1" x14ac:dyDescent="0.25">
      <c r="A62" s="3" t="s">
        <v>21</v>
      </c>
      <c r="B62" s="3" t="s">
        <v>35</v>
      </c>
      <c r="C62" s="3" t="s">
        <v>36</v>
      </c>
      <c r="D62" s="3" t="s">
        <v>34</v>
      </c>
      <c r="E62" s="3" t="s">
        <v>25</v>
      </c>
      <c r="F62" s="3" t="s">
        <v>55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23.035</v>
      </c>
      <c r="M62" s="4">
        <v>11.886060000000001</v>
      </c>
      <c r="N62" s="4">
        <v>0</v>
      </c>
      <c r="O62" s="4">
        <v>0</v>
      </c>
      <c r="P62" s="4">
        <v>0</v>
      </c>
      <c r="Q62" s="3" t="s">
        <v>56</v>
      </c>
      <c r="R62" s="3">
        <v>0</v>
      </c>
      <c r="S62" s="3">
        <v>0</v>
      </c>
      <c r="T62" s="3">
        <v>33</v>
      </c>
      <c r="U62" s="3">
        <v>0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1936.94</v>
      </c>
      <c r="X62" s="4">
        <f>IF(ISERROR(VLOOKUP($U$62,'TAR FIN'!$A$1:$O$85,15,0)),0,VLOOKUP($U$62,'TAR FIN'!$A$1:$O$85,15,0))</f>
        <v>0</v>
      </c>
      <c r="Y62" s="4"/>
      <c r="Z62" s="4">
        <f ca="1">('TUSD BE'!$AM$11+'TUSD BF'!$AM$11+'TUSD CVA'!$AM$11)*1</f>
        <v>2207.1738391087315</v>
      </c>
      <c r="AA62" s="4"/>
      <c r="AB62" s="4">
        <f t="shared" si="0"/>
        <v>0</v>
      </c>
      <c r="AC62" s="4">
        <f t="shared" si="6"/>
        <v>21594.8278436</v>
      </c>
      <c r="AD62" s="4">
        <f t="shared" si="2"/>
        <v>0</v>
      </c>
      <c r="AE62" s="4">
        <f t="shared" ca="1" si="7"/>
        <v>24607.648701792899</v>
      </c>
      <c r="AF62" s="3" t="s">
        <v>609</v>
      </c>
    </row>
    <row r="63" spans="1:32" ht="11.25" customHeight="1" x14ac:dyDescent="0.25">
      <c r="A63" s="3" t="s">
        <v>21</v>
      </c>
      <c r="B63" s="3" t="s">
        <v>35</v>
      </c>
      <c r="C63" s="3" t="s">
        <v>36</v>
      </c>
      <c r="D63" s="3" t="s">
        <v>34</v>
      </c>
      <c r="E63" s="3" t="s">
        <v>25</v>
      </c>
      <c r="F63" s="3" t="s">
        <v>55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24.352</v>
      </c>
      <c r="M63" s="4">
        <v>12.5339744</v>
      </c>
      <c r="N63" s="4">
        <v>0</v>
      </c>
      <c r="O63" s="4">
        <v>0</v>
      </c>
      <c r="P63" s="4">
        <v>0</v>
      </c>
      <c r="Q63" s="3" t="s">
        <v>56</v>
      </c>
      <c r="R63" s="3">
        <v>0</v>
      </c>
      <c r="S63" s="3">
        <v>0</v>
      </c>
      <c r="T63" s="3">
        <v>33</v>
      </c>
      <c r="U63" s="3">
        <v>0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1936.94</v>
      </c>
      <c r="X63" s="4">
        <f>IF(ISERROR(VLOOKUP($U$63,'TAR FIN'!$A$1:$O$85,15,0)),0,VLOOKUP($U$63,'TAR FIN'!$A$1:$O$85,15,0))</f>
        <v>0</v>
      </c>
      <c r="Y63" s="4"/>
      <c r="Z63" s="4">
        <f ca="1">('TUSD BE'!$AM$11+'TUSD BF'!$AM$11+'TUSD CVA'!$AM$11)*1</f>
        <v>2207.1738391087315</v>
      </c>
      <c r="AA63" s="4"/>
      <c r="AB63" s="4">
        <f t="shared" si="0"/>
        <v>0</v>
      </c>
      <c r="AC63" s="4">
        <f t="shared" si="6"/>
        <v>22890.806505664001</v>
      </c>
      <c r="AD63" s="4">
        <f t="shared" si="2"/>
        <v>0</v>
      </c>
      <c r="AE63" s="4">
        <f t="shared" ca="1" si="7"/>
        <v>26084.43693423727</v>
      </c>
      <c r="AF63" s="3" t="s">
        <v>609</v>
      </c>
    </row>
    <row r="64" spans="1:32" ht="11.25" customHeight="1" x14ac:dyDescent="0.25">
      <c r="A64" s="3" t="s">
        <v>21</v>
      </c>
      <c r="B64" s="3" t="s">
        <v>35</v>
      </c>
      <c r="C64" s="3" t="s">
        <v>36</v>
      </c>
      <c r="D64" s="3" t="s">
        <v>34</v>
      </c>
      <c r="E64" s="3" t="s">
        <v>25</v>
      </c>
      <c r="F64" s="3" t="s">
        <v>55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24.995999999999999</v>
      </c>
      <c r="M64" s="4">
        <v>12.865441199999999</v>
      </c>
      <c r="N64" s="4">
        <v>0</v>
      </c>
      <c r="O64" s="4">
        <v>0</v>
      </c>
      <c r="P64" s="4">
        <v>0</v>
      </c>
      <c r="Q64" s="3" t="s">
        <v>56</v>
      </c>
      <c r="R64" s="3">
        <v>0</v>
      </c>
      <c r="S64" s="3">
        <v>0</v>
      </c>
      <c r="T64" s="3">
        <v>33</v>
      </c>
      <c r="U64" s="3">
        <v>0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1936.94</v>
      </c>
      <c r="X64" s="4">
        <f>IF(ISERROR(VLOOKUP($U$64,'TAR FIN'!$A$1:$O$85,15,0)),0,VLOOKUP($U$64,'TAR FIN'!$A$1:$O$85,15,0))</f>
        <v>0</v>
      </c>
      <c r="Y64" s="4"/>
      <c r="Z64" s="4">
        <f ca="1">('TUSD BE'!$AM$11+'TUSD BF'!$AM$11+'TUSD CVA'!$AM$11)*1</f>
        <v>2207.1738391087315</v>
      </c>
      <c r="AA64" s="4"/>
      <c r="AB64" s="4">
        <f t="shared" si="0"/>
        <v>0</v>
      </c>
      <c r="AC64" s="4">
        <f t="shared" si="6"/>
        <v>23496.164562072001</v>
      </c>
      <c r="AD64" s="4">
        <f t="shared" si="2"/>
        <v>0</v>
      </c>
      <c r="AE64" s="4">
        <f t="shared" ca="1" si="7"/>
        <v>26774.252037130205</v>
      </c>
      <c r="AF64" s="3" t="s">
        <v>609</v>
      </c>
    </row>
    <row r="65" spans="1:32" ht="11.25" customHeight="1" x14ac:dyDescent="0.25">
      <c r="A65" s="3" t="s">
        <v>21</v>
      </c>
      <c r="B65" s="3" t="s">
        <v>35</v>
      </c>
      <c r="C65" s="3" t="s">
        <v>36</v>
      </c>
      <c r="D65" s="3" t="s">
        <v>34</v>
      </c>
      <c r="E65" s="3" t="s">
        <v>25</v>
      </c>
      <c r="F65" s="3" t="s">
        <v>55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19.295999999999999</v>
      </c>
      <c r="M65" s="4">
        <v>9.9316511999999992</v>
      </c>
      <c r="N65" s="4">
        <v>0</v>
      </c>
      <c r="O65" s="4">
        <v>0</v>
      </c>
      <c r="P65" s="4">
        <v>0</v>
      </c>
      <c r="Q65" s="3" t="s">
        <v>56</v>
      </c>
      <c r="R65" s="3">
        <v>0</v>
      </c>
      <c r="S65" s="3">
        <v>0</v>
      </c>
      <c r="T65" s="3">
        <v>33</v>
      </c>
      <c r="U65" s="3">
        <v>0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1936.94</v>
      </c>
      <c r="X65" s="4">
        <f>IF(ISERROR(VLOOKUP($U$65,'TAR FIN'!$A$1:$O$85,15,0)),0,VLOOKUP($U$65,'TAR FIN'!$A$1:$O$85,15,0))</f>
        <v>0</v>
      </c>
      <c r="Y65" s="4"/>
      <c r="Z65" s="4">
        <f ca="1">('TUSD BE'!$AM$11+'TUSD BF'!$AM$11+'TUSD CVA'!$AM$11)*1</f>
        <v>2207.1738391087315</v>
      </c>
      <c r="AA65" s="4"/>
      <c r="AB65" s="4">
        <f t="shared" si="0"/>
        <v>0</v>
      </c>
      <c r="AC65" s="4">
        <f t="shared" si="6"/>
        <v>18138.181764672001</v>
      </c>
      <c r="AD65" s="4">
        <f t="shared" si="2"/>
        <v>0</v>
      </c>
      <c r="AE65" s="4">
        <f t="shared" ca="1" si="7"/>
        <v>20668.745691649245</v>
      </c>
      <c r="AF65" s="3" t="s">
        <v>609</v>
      </c>
    </row>
    <row r="66" spans="1:32" ht="11.25" customHeight="1" x14ac:dyDescent="0.25">
      <c r="A66" s="3" t="s">
        <v>21</v>
      </c>
      <c r="B66" s="3" t="s">
        <v>35</v>
      </c>
      <c r="C66" s="3" t="s">
        <v>36</v>
      </c>
      <c r="D66" s="3" t="s">
        <v>34</v>
      </c>
      <c r="E66" s="3" t="s">
        <v>25</v>
      </c>
      <c r="F66" s="3" t="s">
        <v>55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27.260999999999999</v>
      </c>
      <c r="M66" s="4">
        <v>14.031236699999999</v>
      </c>
      <c r="N66" s="4">
        <v>0</v>
      </c>
      <c r="O66" s="4">
        <v>0</v>
      </c>
      <c r="P66" s="4">
        <v>0</v>
      </c>
      <c r="Q66" s="3" t="s">
        <v>56</v>
      </c>
      <c r="R66" s="3">
        <v>0</v>
      </c>
      <c r="S66" s="3">
        <v>0</v>
      </c>
      <c r="T66" s="3">
        <v>33</v>
      </c>
      <c r="U66" s="3">
        <v>0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1936.94</v>
      </c>
      <c r="X66" s="4">
        <f>IF(ISERROR(VLOOKUP($U$66,'TAR FIN'!$A$1:$O$85,15,0)),0,VLOOKUP($U$66,'TAR FIN'!$A$1:$O$85,15,0))</f>
        <v>0</v>
      </c>
      <c r="Y66" s="4"/>
      <c r="Z66" s="4">
        <f ca="1">('TUSD BE'!$AM$11+'TUSD BF'!$AM$11+'TUSD CVA'!$AM$11)*1</f>
        <v>2207.1738391087315</v>
      </c>
      <c r="AA66" s="4"/>
      <c r="AB66" s="4">
        <f t="shared" ref="AB66:AB85" si="8">(J66-K66)*V66</f>
        <v>0</v>
      </c>
      <c r="AC66" s="4">
        <f t="shared" ref="AC66:AC85" si="9">(L66-M66)*W66+(N66-O66)*X66</f>
        <v>25625.257726301999</v>
      </c>
      <c r="AD66" s="4">
        <f t="shared" ref="AD66:AD85" si="10">(J66-K66)*Y66</f>
        <v>0</v>
      </c>
      <c r="AE66" s="4">
        <f t="shared" ref="AE66:AE85" ca="1" si="11">(L66-M66)*Z66+(N66-O66)*AA66</f>
        <v>29200.3874533608</v>
      </c>
      <c r="AF66" s="3" t="s">
        <v>609</v>
      </c>
    </row>
    <row r="67" spans="1:32" ht="11.25" customHeight="1" x14ac:dyDescent="0.25">
      <c r="A67" s="3" t="s">
        <v>21</v>
      </c>
      <c r="B67" s="3" t="s">
        <v>35</v>
      </c>
      <c r="C67" s="3" t="s">
        <v>36</v>
      </c>
      <c r="D67" s="3" t="s">
        <v>34</v>
      </c>
      <c r="E67" s="3" t="s">
        <v>25</v>
      </c>
      <c r="F67" s="3" t="s">
        <v>55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27.995999999999999</v>
      </c>
      <c r="M67" s="4">
        <v>14.4095412</v>
      </c>
      <c r="N67" s="4">
        <v>0</v>
      </c>
      <c r="O67" s="4">
        <v>0</v>
      </c>
      <c r="P67" s="4">
        <v>0</v>
      </c>
      <c r="Q67" s="3" t="s">
        <v>56</v>
      </c>
      <c r="R67" s="3">
        <v>0</v>
      </c>
      <c r="S67" s="3">
        <v>0</v>
      </c>
      <c r="T67" s="3">
        <v>33</v>
      </c>
      <c r="U67" s="3">
        <v>0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1936.94</v>
      </c>
      <c r="X67" s="4">
        <f>IF(ISERROR(VLOOKUP($U$67,'TAR FIN'!$A$1:$O$85,15,0)),0,VLOOKUP($U$67,'TAR FIN'!$A$1:$O$85,15,0))</f>
        <v>0</v>
      </c>
      <c r="Y67" s="4"/>
      <c r="Z67" s="4">
        <f ca="1">('TUSD BE'!$AM$11+'TUSD BF'!$AM$11+'TUSD CVA'!$AM$11)*1</f>
        <v>2207.1738391087315</v>
      </c>
      <c r="AA67" s="4"/>
      <c r="AB67" s="4">
        <f t="shared" si="8"/>
        <v>0</v>
      </c>
      <c r="AC67" s="4">
        <f t="shared" si="9"/>
        <v>26316.155508071999</v>
      </c>
      <c r="AD67" s="4">
        <f t="shared" si="10"/>
        <v>0</v>
      </c>
      <c r="AE67" s="4">
        <f t="shared" ca="1" si="11"/>
        <v>29987.676429488609</v>
      </c>
      <c r="AF67" s="3" t="s">
        <v>609</v>
      </c>
    </row>
    <row r="68" spans="1:32" ht="11.25" customHeight="1" x14ac:dyDescent="0.25">
      <c r="A68" s="3" t="s">
        <v>21</v>
      </c>
      <c r="B68" s="3" t="s">
        <v>35</v>
      </c>
      <c r="C68" s="3" t="s">
        <v>36</v>
      </c>
      <c r="D68" s="3" t="s">
        <v>34</v>
      </c>
      <c r="E68" s="3" t="s">
        <v>25</v>
      </c>
      <c r="F68" s="3" t="s">
        <v>55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32.331000000000003</v>
      </c>
      <c r="M68" s="4">
        <v>16.640765699999999</v>
      </c>
      <c r="N68" s="4">
        <v>0</v>
      </c>
      <c r="O68" s="4">
        <v>0</v>
      </c>
      <c r="P68" s="4">
        <v>0</v>
      </c>
      <c r="Q68" s="3" t="s">
        <v>56</v>
      </c>
      <c r="R68" s="3">
        <v>0</v>
      </c>
      <c r="S68" s="3">
        <v>0</v>
      </c>
      <c r="T68" s="3">
        <v>33</v>
      </c>
      <c r="U68" s="3">
        <v>0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1936.94</v>
      </c>
      <c r="X68" s="4">
        <f>IF(ISERROR(VLOOKUP($U$68,'TAR FIN'!$A$1:$O$85,15,0)),0,VLOOKUP($U$68,'TAR FIN'!$A$1:$O$85,15,0))</f>
        <v>0</v>
      </c>
      <c r="Y68" s="4"/>
      <c r="Z68" s="4">
        <f ca="1">('TUSD BE'!$AM$11+'TUSD BF'!$AM$11+'TUSD CVA'!$AM$11)*1</f>
        <v>2207.1738391087315</v>
      </c>
      <c r="AA68" s="4"/>
      <c r="AB68" s="4">
        <f t="shared" si="8"/>
        <v>0</v>
      </c>
      <c r="AC68" s="4">
        <f t="shared" si="9"/>
        <v>30391.042425042007</v>
      </c>
      <c r="AD68" s="4">
        <f t="shared" si="10"/>
        <v>0</v>
      </c>
      <c r="AE68" s="4">
        <f t="shared" ca="1" si="11"/>
        <v>34631.074676446508</v>
      </c>
      <c r="AF68" s="3" t="s">
        <v>609</v>
      </c>
    </row>
    <row r="69" spans="1:32" ht="11.25" customHeight="1" x14ac:dyDescent="0.25">
      <c r="A69" s="3" t="s">
        <v>21</v>
      </c>
      <c r="B69" s="3" t="s">
        <v>35</v>
      </c>
      <c r="C69" s="3" t="s">
        <v>36</v>
      </c>
      <c r="D69" s="3" t="s">
        <v>34</v>
      </c>
      <c r="E69" s="3" t="s">
        <v>25</v>
      </c>
      <c r="F69" s="3" t="s">
        <v>55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28.545000000000002</v>
      </c>
      <c r="M69" s="4">
        <v>14.692111499999999</v>
      </c>
      <c r="N69" s="4">
        <v>0</v>
      </c>
      <c r="O69" s="4">
        <v>0</v>
      </c>
      <c r="P69" s="4">
        <v>0</v>
      </c>
      <c r="Q69" s="3" t="s">
        <v>56</v>
      </c>
      <c r="R69" s="3">
        <v>0</v>
      </c>
      <c r="S69" s="3">
        <v>0</v>
      </c>
      <c r="T69" s="3">
        <v>33</v>
      </c>
      <c r="U69" s="3">
        <v>0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1936.94</v>
      </c>
      <c r="X69" s="4">
        <f>IF(ISERROR(VLOOKUP($U$69,'TAR FIN'!$A$1:$O$85,15,0)),0,VLOOKUP($U$69,'TAR FIN'!$A$1:$O$85,15,0))</f>
        <v>0</v>
      </c>
      <c r="Y69" s="4"/>
      <c r="Z69" s="4">
        <f ca="1">('TUSD BE'!$AM$11+'TUSD BF'!$AM$11+'TUSD CVA'!$AM$11)*1</f>
        <v>2207.1738391087315</v>
      </c>
      <c r="AA69" s="4"/>
      <c r="AB69" s="4">
        <f t="shared" si="8"/>
        <v>0</v>
      </c>
      <c r="AC69" s="4">
        <f t="shared" si="9"/>
        <v>26832.213851190005</v>
      </c>
      <c r="AD69" s="4">
        <f t="shared" si="10"/>
        <v>0</v>
      </c>
      <c r="AE69" s="4">
        <f t="shared" ca="1" si="11"/>
        <v>30575.7330932902</v>
      </c>
      <c r="AF69" s="3" t="s">
        <v>609</v>
      </c>
    </row>
    <row r="70" spans="1:32" ht="11.25" customHeight="1" x14ac:dyDescent="0.25">
      <c r="A70" s="3" t="s">
        <v>21</v>
      </c>
      <c r="B70" s="3" t="s">
        <v>35</v>
      </c>
      <c r="C70" s="3" t="s">
        <v>36</v>
      </c>
      <c r="D70" s="3" t="s">
        <v>34</v>
      </c>
      <c r="E70" s="3" t="s">
        <v>25</v>
      </c>
      <c r="F70" s="3" t="s">
        <v>55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43.064</v>
      </c>
      <c r="M70" s="4">
        <v>22.1650408</v>
      </c>
      <c r="N70" s="4">
        <v>0</v>
      </c>
      <c r="O70" s="4">
        <v>0</v>
      </c>
      <c r="P70" s="4">
        <v>0</v>
      </c>
      <c r="Q70" s="3" t="s">
        <v>56</v>
      </c>
      <c r="R70" s="3">
        <v>0</v>
      </c>
      <c r="S70" s="3">
        <v>0</v>
      </c>
      <c r="T70" s="3">
        <v>33</v>
      </c>
      <c r="U70" s="3">
        <v>0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1936.94</v>
      </c>
      <c r="X70" s="4">
        <f>IF(ISERROR(VLOOKUP($U$70,'TAR FIN'!$A$1:$O$85,15,0)),0,VLOOKUP($U$70,'TAR FIN'!$A$1:$O$85,15,0))</f>
        <v>0</v>
      </c>
      <c r="Y70" s="4"/>
      <c r="Z70" s="4">
        <f ca="1">('TUSD BE'!$AM$11+'TUSD BF'!$AM$11+'TUSD CVA'!$AM$11)*1</f>
        <v>2207.1738391087315</v>
      </c>
      <c r="AA70" s="4"/>
      <c r="AB70" s="4">
        <f t="shared" si="8"/>
        <v>0</v>
      </c>
      <c r="AC70" s="4">
        <f t="shared" si="9"/>
        <v>40480.030032848001</v>
      </c>
      <c r="AD70" s="4">
        <f t="shared" si="10"/>
        <v>0</v>
      </c>
      <c r="AE70" s="4">
        <f t="shared" ca="1" si="11"/>
        <v>46127.636010840746</v>
      </c>
      <c r="AF70" s="3" t="s">
        <v>609</v>
      </c>
    </row>
    <row r="71" spans="1:32" ht="11.25" customHeight="1" x14ac:dyDescent="0.25">
      <c r="A71" s="3" t="s">
        <v>21</v>
      </c>
      <c r="B71" s="3" t="s">
        <v>35</v>
      </c>
      <c r="C71" s="3" t="s">
        <v>36</v>
      </c>
      <c r="D71" s="3" t="s">
        <v>34</v>
      </c>
      <c r="E71" s="3" t="s">
        <v>25</v>
      </c>
      <c r="F71" s="3" t="s">
        <v>55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21.507000000000001</v>
      </c>
      <c r="M71" s="4">
        <v>11.069652899999999</v>
      </c>
      <c r="N71" s="4">
        <v>0</v>
      </c>
      <c r="O71" s="4">
        <v>0</v>
      </c>
      <c r="P71" s="4">
        <v>0</v>
      </c>
      <c r="Q71" s="3" t="s">
        <v>56</v>
      </c>
      <c r="R71" s="3">
        <v>0</v>
      </c>
      <c r="S71" s="3">
        <v>0</v>
      </c>
      <c r="T71" s="3">
        <v>33</v>
      </c>
      <c r="U71" s="3">
        <v>0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1936.94</v>
      </c>
      <c r="X71" s="4">
        <f>IF(ISERROR(VLOOKUP($U$71,'TAR FIN'!$A$1:$O$85,15,0)),0,VLOOKUP($U$71,'TAR FIN'!$A$1:$O$85,15,0))</f>
        <v>0</v>
      </c>
      <c r="Y71" s="4"/>
      <c r="Z71" s="4">
        <f ca="1">('TUSD BE'!$AM$11+'TUSD BF'!$AM$11+'TUSD CVA'!$AM$11)*1</f>
        <v>2207.1738391087315</v>
      </c>
      <c r="AA71" s="4"/>
      <c r="AB71" s="4">
        <f t="shared" si="8"/>
        <v>0</v>
      </c>
      <c r="AC71" s="4">
        <f t="shared" si="9"/>
        <v>20216.515091874004</v>
      </c>
      <c r="AD71" s="4">
        <f t="shared" si="10"/>
        <v>0</v>
      </c>
      <c r="AE71" s="4">
        <f t="shared" ca="1" si="11"/>
        <v>23037.039468817391</v>
      </c>
      <c r="AF71" s="3" t="s">
        <v>609</v>
      </c>
    </row>
    <row r="72" spans="1:32" ht="11.25" customHeight="1" x14ac:dyDescent="0.25">
      <c r="A72" s="3" t="s">
        <v>21</v>
      </c>
      <c r="B72" s="3" t="s">
        <v>35</v>
      </c>
      <c r="C72" s="3" t="s">
        <v>36</v>
      </c>
      <c r="D72" s="3" t="s">
        <v>34</v>
      </c>
      <c r="E72" s="3" t="s">
        <v>25</v>
      </c>
      <c r="F72" s="3" t="s">
        <v>55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23.550999999999998</v>
      </c>
      <c r="M72" s="4">
        <v>12.121699700000001</v>
      </c>
      <c r="N72" s="4">
        <v>0</v>
      </c>
      <c r="O72" s="4">
        <v>0</v>
      </c>
      <c r="P72" s="4">
        <v>0</v>
      </c>
      <c r="Q72" s="3" t="s">
        <v>56</v>
      </c>
      <c r="R72" s="3">
        <v>0</v>
      </c>
      <c r="S72" s="3">
        <v>0</v>
      </c>
      <c r="T72" s="3">
        <v>33</v>
      </c>
      <c r="U72" s="3">
        <v>0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1936.94</v>
      </c>
      <c r="X72" s="4">
        <f>IF(ISERROR(VLOOKUP($U$72,'TAR FIN'!$A$1:$O$85,15,0)),0,VLOOKUP($U$72,'TAR FIN'!$A$1:$O$85,15,0))</f>
        <v>0</v>
      </c>
      <c r="Y72" s="4"/>
      <c r="Z72" s="4">
        <f ca="1">('TUSD BE'!$AM$11+'TUSD BF'!$AM$11+'TUSD CVA'!$AM$11)*1</f>
        <v>2207.1738391087315</v>
      </c>
      <c r="AA72" s="4"/>
      <c r="AB72" s="4">
        <f t="shared" si="8"/>
        <v>0</v>
      </c>
      <c r="AC72" s="4">
        <f t="shared" si="9"/>
        <v>22137.868923081995</v>
      </c>
      <c r="AD72" s="4">
        <f t="shared" si="10"/>
        <v>0</v>
      </c>
      <c r="AE72" s="4">
        <f t="shared" ca="1" si="11"/>
        <v>25226.452621477572</v>
      </c>
      <c r="AF72" s="3" t="s">
        <v>609</v>
      </c>
    </row>
    <row r="73" spans="1:32" ht="11.25" customHeight="1" x14ac:dyDescent="0.25">
      <c r="A73" s="3" t="s">
        <v>21</v>
      </c>
      <c r="B73" s="3" t="s">
        <v>35</v>
      </c>
      <c r="C73" s="3" t="s">
        <v>36</v>
      </c>
      <c r="D73" s="3" t="s">
        <v>34</v>
      </c>
      <c r="E73" s="3" t="s">
        <v>25</v>
      </c>
      <c r="F73" s="3" t="s">
        <v>55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31.175999999999998</v>
      </c>
      <c r="M73" s="4">
        <v>16.046287199999998</v>
      </c>
      <c r="N73" s="4">
        <v>0</v>
      </c>
      <c r="O73" s="4">
        <v>0</v>
      </c>
      <c r="P73" s="4">
        <v>0</v>
      </c>
      <c r="Q73" s="3" t="s">
        <v>56</v>
      </c>
      <c r="R73" s="3">
        <v>0</v>
      </c>
      <c r="S73" s="3">
        <v>0</v>
      </c>
      <c r="T73" s="3">
        <v>33</v>
      </c>
      <c r="U73" s="3">
        <v>0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1936.94</v>
      </c>
      <c r="X73" s="4">
        <f>IF(ISERROR(VLOOKUP($U$73,'TAR FIN'!$A$1:$O$85,15,0)),0,VLOOKUP($U$73,'TAR FIN'!$A$1:$O$85,15,0))</f>
        <v>0</v>
      </c>
      <c r="Y73" s="4"/>
      <c r="Z73" s="4">
        <f ca="1">('TUSD BE'!$AM$11+'TUSD BF'!$AM$11+'TUSD CVA'!$AM$11)*1</f>
        <v>2207.1738391087315</v>
      </c>
      <c r="AA73" s="4"/>
      <c r="AB73" s="4">
        <f t="shared" si="8"/>
        <v>0</v>
      </c>
      <c r="AC73" s="4">
        <f t="shared" si="9"/>
        <v>29305.345910832002</v>
      </c>
      <c r="AD73" s="4">
        <f t="shared" si="10"/>
        <v>0</v>
      </c>
      <c r="AE73" s="4">
        <f t="shared" ca="1" si="11"/>
        <v>33393.906285388519</v>
      </c>
      <c r="AF73" s="3" t="s">
        <v>609</v>
      </c>
    </row>
    <row r="74" spans="1:32" ht="11.25" customHeight="1" x14ac:dyDescent="0.25">
      <c r="A74" s="3" t="s">
        <v>21</v>
      </c>
      <c r="B74" s="3" t="s">
        <v>35</v>
      </c>
      <c r="C74" s="3" t="s">
        <v>36</v>
      </c>
      <c r="D74" s="3" t="s">
        <v>41</v>
      </c>
      <c r="E74" s="3" t="s">
        <v>50</v>
      </c>
      <c r="F74" s="3" t="s">
        <v>52</v>
      </c>
      <c r="G74" s="3" t="s">
        <v>25</v>
      </c>
      <c r="H74" s="3" t="s">
        <v>38</v>
      </c>
      <c r="I74" s="6">
        <v>44440</v>
      </c>
      <c r="J74" s="4">
        <v>0</v>
      </c>
      <c r="K74" s="4">
        <v>0</v>
      </c>
      <c r="L74" s="4">
        <v>554.65700000000004</v>
      </c>
      <c r="M74" s="4">
        <v>166.39709999999999</v>
      </c>
      <c r="N74" s="4">
        <v>554.65700000000004</v>
      </c>
      <c r="O74" s="4">
        <v>166.39709999999999</v>
      </c>
      <c r="P74" s="4">
        <v>0</v>
      </c>
      <c r="Q74" s="3" t="s">
        <v>26</v>
      </c>
      <c r="R74" s="3">
        <v>0</v>
      </c>
      <c r="S74" s="3">
        <v>0</v>
      </c>
      <c r="T74" s="3">
        <v>15</v>
      </c>
      <c r="U74" s="3">
        <v>67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56.92</v>
      </c>
      <c r="X74" s="4">
        <f>IF(ISERROR(VLOOKUP($U$74,'TAR FIN'!$A$1:$O$85,15,0)),0,VLOOKUP($U$74,'TAR FIN'!$A$1:$O$85,15,0))</f>
        <v>267.91000000000003</v>
      </c>
      <c r="Y74" s="4"/>
      <c r="Z74" s="4">
        <f ca="1">('TUSD BE'!$AM$12+'TUSD BF'!$AM$12+'TUSD CVA'!$AM$12)*1</f>
        <v>100.14715657738388</v>
      </c>
      <c r="AA74" s="4">
        <f>('TE BE'!$AB$6+'TE BF'!$AB$6+'TE CVA'!$AB$6)*1</f>
        <v>185.42082399535556</v>
      </c>
      <c r="AB74" s="4">
        <f t="shared" si="8"/>
        <v>0</v>
      </c>
      <c r="AC74" s="4">
        <f t="shared" si="9"/>
        <v>126118.46331700002</v>
      </c>
      <c r="AD74" s="4">
        <f t="shared" si="10"/>
        <v>0</v>
      </c>
      <c r="AE74" s="4">
        <f t="shared" ca="1" si="11"/>
        <v>110874.59558037376</v>
      </c>
      <c r="AF74" s="3" t="s">
        <v>611</v>
      </c>
    </row>
    <row r="75" spans="1:32" ht="11.25" customHeight="1" x14ac:dyDescent="0.25">
      <c r="A75" s="3" t="s">
        <v>21</v>
      </c>
      <c r="B75" s="3" t="s">
        <v>35</v>
      </c>
      <c r="C75" s="3" t="s">
        <v>36</v>
      </c>
      <c r="D75" s="3" t="s">
        <v>41</v>
      </c>
      <c r="E75" s="3" t="s">
        <v>50</v>
      </c>
      <c r="F75" s="3" t="s">
        <v>52</v>
      </c>
      <c r="G75" s="3" t="s">
        <v>25</v>
      </c>
      <c r="H75" s="3" t="s">
        <v>38</v>
      </c>
      <c r="I75" s="6">
        <v>44470</v>
      </c>
      <c r="J75" s="4">
        <v>0</v>
      </c>
      <c r="K75" s="4">
        <v>0</v>
      </c>
      <c r="L75" s="4">
        <v>206.7</v>
      </c>
      <c r="M75" s="4">
        <v>62.01</v>
      </c>
      <c r="N75" s="4">
        <v>206.7</v>
      </c>
      <c r="O75" s="4">
        <v>62.01</v>
      </c>
      <c r="P75" s="4">
        <v>0</v>
      </c>
      <c r="Q75" s="3" t="s">
        <v>26</v>
      </c>
      <c r="R75" s="3">
        <v>0</v>
      </c>
      <c r="S75" s="3">
        <v>0</v>
      </c>
      <c r="T75" s="3">
        <v>15</v>
      </c>
      <c r="U75" s="3">
        <v>67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56.92</v>
      </c>
      <c r="X75" s="4">
        <f>IF(ISERROR(VLOOKUP($U$75,'TAR FIN'!$A$1:$O$85,15,0)),0,VLOOKUP($U$75,'TAR FIN'!$A$1:$O$85,15,0))</f>
        <v>267.91000000000003</v>
      </c>
      <c r="Y75" s="4"/>
      <c r="Z75" s="4">
        <f ca="1">('TUSD BE'!$AM$12+'TUSD BF'!$AM$12+'TUSD CVA'!$AM$12)*1</f>
        <v>100.14715657738388</v>
      </c>
      <c r="AA75" s="4">
        <f>('TE BE'!$AB$6+'TE BF'!$AB$6+'TE CVA'!$AB$6)*1</f>
        <v>185.42082399535556</v>
      </c>
      <c r="AB75" s="4">
        <f t="shared" si="8"/>
        <v>0</v>
      </c>
      <c r="AC75" s="4">
        <f t="shared" si="9"/>
        <v>46999.652700000006</v>
      </c>
      <c r="AD75" s="4">
        <f t="shared" si="10"/>
        <v>0</v>
      </c>
      <c r="AE75" s="4">
        <f t="shared" ca="1" si="11"/>
        <v>41318.831109069666</v>
      </c>
      <c r="AF75" s="3" t="s">
        <v>611</v>
      </c>
    </row>
    <row r="76" spans="1:32" ht="11.25" customHeight="1" x14ac:dyDescent="0.25">
      <c r="A76" s="3" t="s">
        <v>21</v>
      </c>
      <c r="B76" s="3" t="s">
        <v>35</v>
      </c>
      <c r="C76" s="3" t="s">
        <v>36</v>
      </c>
      <c r="D76" s="3" t="s">
        <v>41</v>
      </c>
      <c r="E76" s="3" t="s">
        <v>50</v>
      </c>
      <c r="F76" s="3" t="s">
        <v>52</v>
      </c>
      <c r="G76" s="3" t="s">
        <v>25</v>
      </c>
      <c r="H76" s="3" t="s">
        <v>38</v>
      </c>
      <c r="I76" s="6">
        <v>44501</v>
      </c>
      <c r="J76" s="4">
        <v>0</v>
      </c>
      <c r="K76" s="4">
        <v>0</v>
      </c>
      <c r="L76" s="4">
        <v>97.808000000000007</v>
      </c>
      <c r="M76" s="4">
        <v>29.342400000000001</v>
      </c>
      <c r="N76" s="4">
        <v>97.808000000000007</v>
      </c>
      <c r="O76" s="4">
        <v>29.342400000000001</v>
      </c>
      <c r="P76" s="4">
        <v>0</v>
      </c>
      <c r="Q76" s="3" t="s">
        <v>26</v>
      </c>
      <c r="R76" s="3">
        <v>0</v>
      </c>
      <c r="S76" s="3">
        <v>0</v>
      </c>
      <c r="T76" s="3">
        <v>15</v>
      </c>
      <c r="U76" s="3">
        <v>67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56.92</v>
      </c>
      <c r="X76" s="4">
        <f>IF(ISERROR(VLOOKUP($U$76,'TAR FIN'!$A$1:$O$85,15,0)),0,VLOOKUP($U$76,'TAR FIN'!$A$1:$O$85,15,0))</f>
        <v>267.91000000000003</v>
      </c>
      <c r="Y76" s="4"/>
      <c r="Z76" s="4">
        <f ca="1">('TUSD BE'!$AM$12+'TUSD BF'!$AM$12+'TUSD CVA'!$AM$12)*1</f>
        <v>100.14715657738388</v>
      </c>
      <c r="AA76" s="4">
        <f>('TE BE'!$AB$6+'TE BF'!$AB$6+'TE CVA'!$AB$6)*1</f>
        <v>185.42082399535556</v>
      </c>
      <c r="AB76" s="4">
        <f t="shared" si="8"/>
        <v>0</v>
      </c>
      <c r="AC76" s="4">
        <f t="shared" si="9"/>
        <v>22239.680848000004</v>
      </c>
      <c r="AD76" s="4">
        <f t="shared" si="10"/>
        <v>0</v>
      </c>
      <c r="AE76" s="4">
        <f t="shared" ca="1" si="11"/>
        <v>19551.58313070095</v>
      </c>
      <c r="AF76" s="3" t="s">
        <v>611</v>
      </c>
    </row>
    <row r="77" spans="1:32" ht="11.25" customHeight="1" x14ac:dyDescent="0.25">
      <c r="A77" s="3" t="s">
        <v>21</v>
      </c>
      <c r="B77" s="3" t="s">
        <v>35</v>
      </c>
      <c r="C77" s="3" t="s">
        <v>36</v>
      </c>
      <c r="D77" s="3" t="s">
        <v>41</v>
      </c>
      <c r="E77" s="3" t="s">
        <v>50</v>
      </c>
      <c r="F77" s="3" t="s">
        <v>52</v>
      </c>
      <c r="G77" s="3" t="s">
        <v>25</v>
      </c>
      <c r="H77" s="3" t="s">
        <v>38</v>
      </c>
      <c r="I77" s="6">
        <v>44531</v>
      </c>
      <c r="J77" s="4">
        <v>0</v>
      </c>
      <c r="K77" s="4">
        <v>0</v>
      </c>
      <c r="L77" s="4">
        <v>49.88</v>
      </c>
      <c r="M77" s="4">
        <v>14.964</v>
      </c>
      <c r="N77" s="4">
        <v>49.88</v>
      </c>
      <c r="O77" s="4">
        <v>14.964</v>
      </c>
      <c r="P77" s="4">
        <v>0</v>
      </c>
      <c r="Q77" s="3" t="s">
        <v>26</v>
      </c>
      <c r="R77" s="3">
        <v>0</v>
      </c>
      <c r="S77" s="3">
        <v>0</v>
      </c>
      <c r="T77" s="3">
        <v>15</v>
      </c>
      <c r="U77" s="3">
        <v>67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56.92</v>
      </c>
      <c r="X77" s="4">
        <f>IF(ISERROR(VLOOKUP($U$77,'TAR FIN'!$A$1:$O$85,15,0)),0,VLOOKUP($U$77,'TAR FIN'!$A$1:$O$85,15,0))</f>
        <v>267.91000000000003</v>
      </c>
      <c r="Y77" s="4"/>
      <c r="Z77" s="4">
        <f ca="1">('TUSD BE'!$AM$12+'TUSD BF'!$AM$12+'TUSD CVA'!$AM$12)*1</f>
        <v>100.14715657738388</v>
      </c>
      <c r="AA77" s="4">
        <f>('TE BE'!$AB$6+'TE BF'!$AB$6+'TE CVA'!$AB$6)*1</f>
        <v>185.42082399535556</v>
      </c>
      <c r="AB77" s="4">
        <f t="shared" si="8"/>
        <v>0</v>
      </c>
      <c r="AC77" s="4">
        <f t="shared" si="9"/>
        <v>11341.764280000001</v>
      </c>
      <c r="AD77" s="4">
        <f t="shared" si="10"/>
        <v>0</v>
      </c>
      <c r="AE77" s="4">
        <f t="shared" ca="1" si="11"/>
        <v>9970.8916096777721</v>
      </c>
      <c r="AF77" s="3" t="s">
        <v>611</v>
      </c>
    </row>
    <row r="78" spans="1:32" ht="11.25" customHeight="1" x14ac:dyDescent="0.25">
      <c r="A78" s="3" t="s">
        <v>21</v>
      </c>
      <c r="B78" s="3" t="s">
        <v>35</v>
      </c>
      <c r="C78" s="3" t="s">
        <v>36</v>
      </c>
      <c r="D78" s="3" t="s">
        <v>41</v>
      </c>
      <c r="E78" s="3" t="s">
        <v>50</v>
      </c>
      <c r="F78" s="3" t="s">
        <v>52</v>
      </c>
      <c r="G78" s="3" t="s">
        <v>25</v>
      </c>
      <c r="H78" s="3" t="s">
        <v>38</v>
      </c>
      <c r="I78" s="6">
        <v>44562</v>
      </c>
      <c r="J78" s="4">
        <v>0</v>
      </c>
      <c r="K78" s="4">
        <v>0</v>
      </c>
      <c r="L78" s="4">
        <v>35.671999999999997</v>
      </c>
      <c r="M78" s="4">
        <v>10.701599999999999</v>
      </c>
      <c r="N78" s="4">
        <v>35.671999999999997</v>
      </c>
      <c r="O78" s="4">
        <v>10.701599999999999</v>
      </c>
      <c r="P78" s="4">
        <v>0</v>
      </c>
      <c r="Q78" s="3" t="s">
        <v>26</v>
      </c>
      <c r="R78" s="3">
        <v>0</v>
      </c>
      <c r="S78" s="3">
        <v>0</v>
      </c>
      <c r="T78" s="3">
        <v>15</v>
      </c>
      <c r="U78" s="3">
        <v>67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56.92</v>
      </c>
      <c r="X78" s="4">
        <f>IF(ISERROR(VLOOKUP($U$78,'TAR FIN'!$A$1:$O$85,15,0)),0,VLOOKUP($U$78,'TAR FIN'!$A$1:$O$85,15,0))</f>
        <v>267.91000000000003</v>
      </c>
      <c r="Y78" s="4"/>
      <c r="Z78" s="4">
        <f ca="1">('TUSD BE'!$AM$12+'TUSD BF'!$AM$12+'TUSD CVA'!$AM$12)*1</f>
        <v>100.14715657738388</v>
      </c>
      <c r="AA78" s="4">
        <f>('TE BE'!$AB$6+'TE BF'!$AB$6+'TE CVA'!$AB$6)*1</f>
        <v>185.42082399535556</v>
      </c>
      <c r="AB78" s="4">
        <f t="shared" si="8"/>
        <v>0</v>
      </c>
      <c r="AC78" s="4">
        <f t="shared" si="9"/>
        <v>8111.1350320000001</v>
      </c>
      <c r="AD78" s="4">
        <f t="shared" si="10"/>
        <v>0</v>
      </c>
      <c r="AE78" s="4">
        <f t="shared" ca="1" si="11"/>
        <v>7130.7467020935328</v>
      </c>
      <c r="AF78" s="3" t="s">
        <v>611</v>
      </c>
    </row>
    <row r="79" spans="1:32" ht="11.25" customHeight="1" x14ac:dyDescent="0.25">
      <c r="A79" s="3" t="s">
        <v>21</v>
      </c>
      <c r="B79" s="3" t="s">
        <v>35</v>
      </c>
      <c r="C79" s="3" t="s">
        <v>36</v>
      </c>
      <c r="D79" s="3" t="s">
        <v>41</v>
      </c>
      <c r="E79" s="3" t="s">
        <v>50</v>
      </c>
      <c r="F79" s="3" t="s">
        <v>52</v>
      </c>
      <c r="G79" s="3" t="s">
        <v>25</v>
      </c>
      <c r="H79" s="3" t="s">
        <v>38</v>
      </c>
      <c r="I79" s="6">
        <v>44593</v>
      </c>
      <c r="J79" s="4">
        <v>0</v>
      </c>
      <c r="K79" s="4">
        <v>0</v>
      </c>
      <c r="L79" s="4">
        <v>72.75</v>
      </c>
      <c r="M79" s="4">
        <v>21.824999999999999</v>
      </c>
      <c r="N79" s="4">
        <v>72.75</v>
      </c>
      <c r="O79" s="4">
        <v>21.824999999999999</v>
      </c>
      <c r="P79" s="4">
        <v>0</v>
      </c>
      <c r="Q79" s="3" t="s">
        <v>26</v>
      </c>
      <c r="R79" s="3">
        <v>0</v>
      </c>
      <c r="S79" s="3">
        <v>0</v>
      </c>
      <c r="T79" s="3">
        <v>15</v>
      </c>
      <c r="U79" s="3">
        <v>67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56.92</v>
      </c>
      <c r="X79" s="4">
        <f>IF(ISERROR(VLOOKUP($U$79,'TAR FIN'!$A$1:$O$85,15,0)),0,VLOOKUP($U$79,'TAR FIN'!$A$1:$O$85,15,0))</f>
        <v>267.91000000000003</v>
      </c>
      <c r="Y79" s="4"/>
      <c r="Z79" s="4">
        <f ca="1">('TUSD BE'!$AM$12+'TUSD BF'!$AM$12+'TUSD CVA'!$AM$12)*1</f>
        <v>100.14715657738388</v>
      </c>
      <c r="AA79" s="4">
        <f>('TE BE'!$AB$6+'TE BF'!$AB$6+'TE CVA'!$AB$6)*1</f>
        <v>185.42082399535556</v>
      </c>
      <c r="AB79" s="4">
        <f t="shared" si="8"/>
        <v>0</v>
      </c>
      <c r="AC79" s="4">
        <f t="shared" si="9"/>
        <v>16541.96775</v>
      </c>
      <c r="AD79" s="4">
        <f t="shared" si="10"/>
        <v>0</v>
      </c>
      <c r="AE79" s="4">
        <f t="shared" ca="1" si="11"/>
        <v>14542.549410666757</v>
      </c>
      <c r="AF79" s="3" t="s">
        <v>611</v>
      </c>
    </row>
    <row r="80" spans="1:32" ht="11.25" customHeight="1" x14ac:dyDescent="0.25">
      <c r="A80" s="3" t="s">
        <v>21</v>
      </c>
      <c r="B80" s="3" t="s">
        <v>35</v>
      </c>
      <c r="C80" s="3" t="s">
        <v>36</v>
      </c>
      <c r="D80" s="3" t="s">
        <v>41</v>
      </c>
      <c r="E80" s="3" t="s">
        <v>50</v>
      </c>
      <c r="F80" s="3" t="s">
        <v>52</v>
      </c>
      <c r="G80" s="3" t="s">
        <v>25</v>
      </c>
      <c r="H80" s="3" t="s">
        <v>38</v>
      </c>
      <c r="I80" s="6">
        <v>44621</v>
      </c>
      <c r="J80" s="4">
        <v>0</v>
      </c>
      <c r="K80" s="4">
        <v>0</v>
      </c>
      <c r="L80" s="4">
        <v>84.724000000000004</v>
      </c>
      <c r="M80" s="4">
        <v>25.417200000000001</v>
      </c>
      <c r="N80" s="4">
        <v>84.724000000000004</v>
      </c>
      <c r="O80" s="4">
        <v>25.417200000000001</v>
      </c>
      <c r="P80" s="4">
        <v>0</v>
      </c>
      <c r="Q80" s="3" t="s">
        <v>26</v>
      </c>
      <c r="R80" s="3">
        <v>0</v>
      </c>
      <c r="S80" s="3">
        <v>0</v>
      </c>
      <c r="T80" s="3">
        <v>15</v>
      </c>
      <c r="U80" s="3">
        <v>67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56.92</v>
      </c>
      <c r="X80" s="4">
        <f>IF(ISERROR(VLOOKUP($U$80,'TAR FIN'!$A$1:$O$85,15,0)),0,VLOOKUP($U$80,'TAR FIN'!$A$1:$O$85,15,0))</f>
        <v>267.91000000000003</v>
      </c>
      <c r="Y80" s="4"/>
      <c r="Z80" s="4">
        <f ca="1">('TUSD BE'!$AM$12+'TUSD BF'!$AM$12+'TUSD CVA'!$AM$12)*1</f>
        <v>100.14715657738388</v>
      </c>
      <c r="AA80" s="4">
        <f>('TE BE'!$AB$6+'TE BF'!$AB$6+'TE CVA'!$AB$6)*1</f>
        <v>185.42082399535556</v>
      </c>
      <c r="AB80" s="4">
        <f t="shared" si="8"/>
        <v>0</v>
      </c>
      <c r="AC80" s="4">
        <f t="shared" si="9"/>
        <v>19264.627844000002</v>
      </c>
      <c r="AD80" s="4">
        <f t="shared" si="10"/>
        <v>0</v>
      </c>
      <c r="AE80" s="4">
        <f t="shared" ca="1" si="11"/>
        <v>16936.123110231347</v>
      </c>
      <c r="AF80" s="3" t="s">
        <v>611</v>
      </c>
    </row>
    <row r="81" spans="1:32" ht="11.25" customHeight="1" x14ac:dyDescent="0.25">
      <c r="A81" s="3" t="s">
        <v>21</v>
      </c>
      <c r="B81" s="3" t="s">
        <v>35</v>
      </c>
      <c r="C81" s="3" t="s">
        <v>36</v>
      </c>
      <c r="D81" s="3" t="s">
        <v>41</v>
      </c>
      <c r="E81" s="3" t="s">
        <v>50</v>
      </c>
      <c r="F81" s="3" t="s">
        <v>52</v>
      </c>
      <c r="G81" s="3" t="s">
        <v>25</v>
      </c>
      <c r="H81" s="3" t="s">
        <v>38</v>
      </c>
      <c r="I81" s="6">
        <v>44652</v>
      </c>
      <c r="J81" s="4">
        <v>0</v>
      </c>
      <c r="K81" s="4">
        <v>0</v>
      </c>
      <c r="L81" s="4">
        <v>190.38499999999999</v>
      </c>
      <c r="M81" s="4">
        <v>57.115499999999997</v>
      </c>
      <c r="N81" s="4">
        <v>190.38499999999999</v>
      </c>
      <c r="O81" s="4">
        <v>57.115499999999997</v>
      </c>
      <c r="P81" s="4">
        <v>0</v>
      </c>
      <c r="Q81" s="3" t="s">
        <v>26</v>
      </c>
      <c r="R81" s="3">
        <v>0</v>
      </c>
      <c r="S81" s="3">
        <v>0</v>
      </c>
      <c r="T81" s="3">
        <v>15</v>
      </c>
      <c r="U81" s="3">
        <v>67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56.92</v>
      </c>
      <c r="X81" s="4">
        <f>IF(ISERROR(VLOOKUP($U$81,'TAR FIN'!$A$1:$O$85,15,0)),0,VLOOKUP($U$81,'TAR FIN'!$A$1:$O$85,15,0))</f>
        <v>267.91000000000003</v>
      </c>
      <c r="Y81" s="4"/>
      <c r="Z81" s="4">
        <f ca="1">('TUSD BE'!$AM$12+'TUSD BF'!$AM$12+'TUSD CVA'!$AM$12)*1</f>
        <v>100.14715657738388</v>
      </c>
      <c r="AA81" s="4">
        <f>('TE BE'!$AB$6+'TE BF'!$AB$6+'TE CVA'!$AB$6)*1</f>
        <v>185.42082399535556</v>
      </c>
      <c r="AB81" s="4">
        <f t="shared" si="8"/>
        <v>0</v>
      </c>
      <c r="AC81" s="4">
        <f t="shared" si="9"/>
        <v>43289.931685000003</v>
      </c>
      <c r="AD81" s="4">
        <f t="shared" si="10"/>
        <v>0</v>
      </c>
      <c r="AE81" s="4">
        <f t="shared" ca="1" si="11"/>
        <v>38057.501986938696</v>
      </c>
      <c r="AF81" s="3" t="s">
        <v>611</v>
      </c>
    </row>
    <row r="82" spans="1:32" ht="11.25" customHeight="1" x14ac:dyDescent="0.25">
      <c r="A82" s="3" t="s">
        <v>21</v>
      </c>
      <c r="B82" s="3" t="s">
        <v>35</v>
      </c>
      <c r="C82" s="3" t="s">
        <v>36</v>
      </c>
      <c r="D82" s="3" t="s">
        <v>41</v>
      </c>
      <c r="E82" s="3" t="s">
        <v>50</v>
      </c>
      <c r="F82" s="3" t="s">
        <v>52</v>
      </c>
      <c r="G82" s="3" t="s">
        <v>25</v>
      </c>
      <c r="H82" s="3" t="s">
        <v>38</v>
      </c>
      <c r="I82" s="6">
        <v>44682</v>
      </c>
      <c r="J82" s="4">
        <v>0</v>
      </c>
      <c r="K82" s="4">
        <v>0</v>
      </c>
      <c r="L82" s="4">
        <v>396.86799999999999</v>
      </c>
      <c r="M82" s="4">
        <v>119.0604</v>
      </c>
      <c r="N82" s="4">
        <v>396.86799999999999</v>
      </c>
      <c r="O82" s="4">
        <v>119.0604</v>
      </c>
      <c r="P82" s="4">
        <v>0</v>
      </c>
      <c r="Q82" s="3" t="s">
        <v>26</v>
      </c>
      <c r="R82" s="3">
        <v>0</v>
      </c>
      <c r="S82" s="3">
        <v>0</v>
      </c>
      <c r="T82" s="3">
        <v>15</v>
      </c>
      <c r="U82" s="3">
        <v>67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56.92</v>
      </c>
      <c r="X82" s="4">
        <f>IF(ISERROR(VLOOKUP($U$82,'TAR FIN'!$A$1:$O$85,15,0)),0,VLOOKUP($U$82,'TAR FIN'!$A$1:$O$85,15,0))</f>
        <v>267.91000000000003</v>
      </c>
      <c r="Y82" s="4"/>
      <c r="Z82" s="4">
        <f ca="1">('TUSD BE'!$AM$12+'TUSD BF'!$AM$12+'TUSD CVA'!$AM$12)*1</f>
        <v>100.14715657738388</v>
      </c>
      <c r="AA82" s="4">
        <f>('TE BE'!$AB$6+'TE BF'!$AB$6+'TE CVA'!$AB$6)*1</f>
        <v>185.42082399535556</v>
      </c>
      <c r="AB82" s="4">
        <f t="shared" si="8"/>
        <v>0</v>
      </c>
      <c r="AC82" s="4">
        <f t="shared" si="9"/>
        <v>90240.242708000005</v>
      </c>
      <c r="AD82" s="4">
        <f t="shared" si="10"/>
        <v>0</v>
      </c>
      <c r="AE82" s="4">
        <f t="shared" ca="1" si="11"/>
        <v>79332.955319759363</v>
      </c>
      <c r="AF82" s="3" t="s">
        <v>611</v>
      </c>
    </row>
    <row r="83" spans="1:32" ht="11.25" customHeight="1" x14ac:dyDescent="0.25">
      <c r="A83" s="3" t="s">
        <v>21</v>
      </c>
      <c r="B83" s="3" t="s">
        <v>35</v>
      </c>
      <c r="C83" s="3" t="s">
        <v>36</v>
      </c>
      <c r="D83" s="3" t="s">
        <v>41</v>
      </c>
      <c r="E83" s="3" t="s">
        <v>50</v>
      </c>
      <c r="F83" s="3" t="s">
        <v>52</v>
      </c>
      <c r="G83" s="3" t="s">
        <v>25</v>
      </c>
      <c r="H83" s="3" t="s">
        <v>38</v>
      </c>
      <c r="I83" s="6">
        <v>44713</v>
      </c>
      <c r="J83" s="4">
        <v>0</v>
      </c>
      <c r="K83" s="4">
        <v>0</v>
      </c>
      <c r="L83" s="4">
        <v>112.074</v>
      </c>
      <c r="M83" s="4">
        <v>33.622199999999999</v>
      </c>
      <c r="N83" s="4">
        <v>112.074</v>
      </c>
      <c r="O83" s="4">
        <v>33.622199999999999</v>
      </c>
      <c r="P83" s="4">
        <v>0</v>
      </c>
      <c r="Q83" s="3" t="s">
        <v>26</v>
      </c>
      <c r="R83" s="3">
        <v>0</v>
      </c>
      <c r="S83" s="3">
        <v>0</v>
      </c>
      <c r="T83" s="3">
        <v>15</v>
      </c>
      <c r="U83" s="3">
        <v>67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56.92</v>
      </c>
      <c r="X83" s="4">
        <f>IF(ISERROR(VLOOKUP($U$83,'TAR FIN'!$A$1:$O$85,15,0)),0,VLOOKUP($U$83,'TAR FIN'!$A$1:$O$85,15,0))</f>
        <v>267.91000000000003</v>
      </c>
      <c r="Y83" s="4"/>
      <c r="Z83" s="4">
        <f ca="1">('TUSD BE'!$AM$12+'TUSD BF'!$AM$12+'TUSD CVA'!$AM$12)*1</f>
        <v>100.14715657738388</v>
      </c>
      <c r="AA83" s="4">
        <f>('TE BE'!$AB$6+'TE BF'!$AB$6+'TE CVA'!$AB$6)*1</f>
        <v>185.42082399535556</v>
      </c>
      <c r="AB83" s="4">
        <f t="shared" si="8"/>
        <v>0</v>
      </c>
      <c r="AC83" s="4">
        <f t="shared" si="9"/>
        <v>25483.498194</v>
      </c>
      <c r="AD83" s="4">
        <f t="shared" si="10"/>
        <v>0</v>
      </c>
      <c r="AE83" s="4">
        <f t="shared" ca="1" si="11"/>
        <v>22403.322098296438</v>
      </c>
      <c r="AF83" s="3" t="s">
        <v>611</v>
      </c>
    </row>
    <row r="84" spans="1:32" ht="11.25" customHeight="1" x14ac:dyDescent="0.25">
      <c r="A84" s="3" t="s">
        <v>21</v>
      </c>
      <c r="B84" s="3" t="s">
        <v>35</v>
      </c>
      <c r="C84" s="3" t="s">
        <v>36</v>
      </c>
      <c r="D84" s="3" t="s">
        <v>41</v>
      </c>
      <c r="E84" s="3" t="s">
        <v>50</v>
      </c>
      <c r="F84" s="3" t="s">
        <v>52</v>
      </c>
      <c r="G84" s="3" t="s">
        <v>25</v>
      </c>
      <c r="H84" s="3" t="s">
        <v>38</v>
      </c>
      <c r="I84" s="6">
        <v>44743</v>
      </c>
      <c r="J84" s="4">
        <v>0</v>
      </c>
      <c r="K84" s="4">
        <v>0</v>
      </c>
      <c r="L84" s="4">
        <v>295.55399999999997</v>
      </c>
      <c r="M84" s="4">
        <v>88.666200000000003</v>
      </c>
      <c r="N84" s="4">
        <v>295.55399999999997</v>
      </c>
      <c r="O84" s="4">
        <v>88.666200000000003</v>
      </c>
      <c r="P84" s="4">
        <v>0</v>
      </c>
      <c r="Q84" s="3" t="s">
        <v>26</v>
      </c>
      <c r="R84" s="3">
        <v>0</v>
      </c>
      <c r="S84" s="3">
        <v>0</v>
      </c>
      <c r="T84" s="3">
        <v>15</v>
      </c>
      <c r="U84" s="3">
        <v>67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56.92</v>
      </c>
      <c r="X84" s="4">
        <f>IF(ISERROR(VLOOKUP($U$84,'TAR FIN'!$A$1:$O$85,15,0)),0,VLOOKUP($U$84,'TAR FIN'!$A$1:$O$85,15,0))</f>
        <v>267.91000000000003</v>
      </c>
      <c r="Y84" s="4"/>
      <c r="Z84" s="4">
        <f ca="1">('TUSD BE'!$AM$12+'TUSD BF'!$AM$12+'TUSD CVA'!$AM$12)*1</f>
        <v>100.14715657738388</v>
      </c>
      <c r="AA84" s="4">
        <f>('TE BE'!$AB$6+'TE BF'!$AB$6+'TE CVA'!$AB$6)*1</f>
        <v>185.42082399535556</v>
      </c>
      <c r="AB84" s="4">
        <f t="shared" si="8"/>
        <v>0</v>
      </c>
      <c r="AC84" s="4">
        <f t="shared" si="9"/>
        <v>67203.364073999997</v>
      </c>
      <c r="AD84" s="4">
        <f t="shared" si="10"/>
        <v>0</v>
      </c>
      <c r="AE84" s="4">
        <f t="shared" ca="1" si="11"/>
        <v>59080.531251136796</v>
      </c>
      <c r="AF84" s="3" t="s">
        <v>611</v>
      </c>
    </row>
    <row r="85" spans="1:32" ht="11.25" customHeight="1" x14ac:dyDescent="0.25">
      <c r="A85" s="3" t="s">
        <v>21</v>
      </c>
      <c r="B85" s="3" t="s">
        <v>35</v>
      </c>
      <c r="C85" s="3" t="s">
        <v>36</v>
      </c>
      <c r="D85" s="3" t="s">
        <v>41</v>
      </c>
      <c r="E85" s="3" t="s">
        <v>50</v>
      </c>
      <c r="F85" s="3" t="s">
        <v>52</v>
      </c>
      <c r="G85" s="3" t="s">
        <v>25</v>
      </c>
      <c r="H85" s="3" t="s">
        <v>38</v>
      </c>
      <c r="I85" s="6">
        <v>44774</v>
      </c>
      <c r="J85" s="4">
        <v>0</v>
      </c>
      <c r="K85" s="4">
        <v>0</v>
      </c>
      <c r="L85" s="4">
        <v>501.83199999999999</v>
      </c>
      <c r="M85" s="4">
        <v>150.5496</v>
      </c>
      <c r="N85" s="4">
        <v>501.83199999999999</v>
      </c>
      <c r="O85" s="4">
        <v>150.5496</v>
      </c>
      <c r="P85" s="4">
        <v>0</v>
      </c>
      <c r="Q85" s="3" t="s">
        <v>26</v>
      </c>
      <c r="R85" s="3">
        <v>0</v>
      </c>
      <c r="S85" s="3">
        <v>0</v>
      </c>
      <c r="T85" s="3">
        <v>15</v>
      </c>
      <c r="U85" s="3">
        <v>67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56.92</v>
      </c>
      <c r="X85" s="4">
        <f>IF(ISERROR(VLOOKUP($U$85,'TAR FIN'!$A$1:$O$85,15,0)),0,VLOOKUP($U$85,'TAR FIN'!$A$1:$O$85,15,0))</f>
        <v>267.91000000000003</v>
      </c>
      <c r="Y85" s="4"/>
      <c r="Z85" s="4">
        <f ca="1">('TUSD BE'!$AM$12+'TUSD BF'!$AM$12+'TUSD CVA'!$AM$12)*1</f>
        <v>100.14715657738388</v>
      </c>
      <c r="AA85" s="4">
        <f>('TE BE'!$AB$6+'TE BF'!$AB$6+'TE CVA'!$AB$6)*1</f>
        <v>185.42082399535556</v>
      </c>
      <c r="AB85" s="4">
        <f t="shared" si="8"/>
        <v>0</v>
      </c>
      <c r="AC85" s="4">
        <f t="shared" si="9"/>
        <v>114107.06199200002</v>
      </c>
      <c r="AD85" s="4">
        <f t="shared" si="10"/>
        <v>0</v>
      </c>
      <c r="AE85" s="4">
        <f t="shared" ca="1" si="11"/>
        <v>100315.00557874527</v>
      </c>
      <c r="AF85" s="3" t="s">
        <v>611</v>
      </c>
    </row>
    <row r="86" spans="1:32" ht="11.25" customHeight="1" x14ac:dyDescent="0.25">
      <c r="A86" s="3" t="s">
        <v>21</v>
      </c>
      <c r="B86" s="3" t="s">
        <v>35</v>
      </c>
      <c r="C86" s="3" t="s">
        <v>36</v>
      </c>
      <c r="D86" s="3" t="s">
        <v>41</v>
      </c>
      <c r="E86" s="3" t="s">
        <v>50</v>
      </c>
      <c r="F86" s="3" t="s">
        <v>25</v>
      </c>
      <c r="G86" s="3" t="s">
        <v>25</v>
      </c>
      <c r="H86" s="3" t="s">
        <v>38</v>
      </c>
      <c r="I86" s="6">
        <v>44440</v>
      </c>
      <c r="J86" s="4">
        <v>0</v>
      </c>
      <c r="K86" s="52">
        <v>0</v>
      </c>
      <c r="L86" s="4">
        <v>822.55100000000004</v>
      </c>
      <c r="M86" s="52">
        <v>822.55100000000004</v>
      </c>
      <c r="N86" s="4">
        <v>822.55100000000004</v>
      </c>
      <c r="O86" s="52">
        <v>822.55100000000004</v>
      </c>
      <c r="P86" s="4">
        <v>0</v>
      </c>
      <c r="Q86" s="3" t="s">
        <v>26</v>
      </c>
      <c r="R86" s="3">
        <v>0</v>
      </c>
      <c r="S86" s="3">
        <v>0</v>
      </c>
      <c r="T86" s="3">
        <v>15</v>
      </c>
      <c r="U86" s="3">
        <v>67</v>
      </c>
      <c r="V86" s="52">
        <f>IF(ISERROR(VLOOKUP($S$86,'TAR FIN'!$A$1:$O$85,15,0)),0,VLOOKUP($S$86,'TAR FIN'!$A$1:$O$85,15,0))</f>
        <v>0</v>
      </c>
      <c r="W86" s="52">
        <f>IF(ISERROR(VLOOKUP($T$86,'TAR FIN'!$A$1:$O$85,15,0)),0,VLOOKUP($T$86,'TAR FIN'!$A$1:$O$85,15,0))*(1-0.04)</f>
        <v>54.6432</v>
      </c>
      <c r="X86" s="52">
        <f>IF(ISERROR(VLOOKUP($U$86,'TAR FIN'!$A$1:$O$85,15,0)),0,VLOOKUP($U$86,'TAR FIN'!$A$1:$O$85,15,0))*(1-0.04)</f>
        <v>257.1936</v>
      </c>
      <c r="Y86" s="52"/>
      <c r="Z86" s="52">
        <f ca="1">('TUSD BE'!$AM$12+'TUSD BF'!$AM$12+'TUSD CVA'!$AM$12)*1*(1-0.02)</f>
        <v>98.144213445836201</v>
      </c>
      <c r="AA86" s="52">
        <f>('TE BE'!$AB$6+'TE BF'!$AB$6+'TE CVA'!$AB$6)*1*(1-0.02)</f>
        <v>181.71240751544846</v>
      </c>
      <c r="AB86" s="52">
        <f>(SUBSIDIO!$J$86*SUBSIDIO!$V$86)*(0.04)/(1-0.04)</f>
        <v>0</v>
      </c>
      <c r="AC86" s="52">
        <f>((SUBSIDIO!$L$86*SUBSIDIO!$W$86)+(SUBSIDIO!$N$86*SUBSIDIO!$X$86))*(0.04)/(1-0.04)</f>
        <v>10687.5696532</v>
      </c>
      <c r="AD86" s="52">
        <f>(SUBSIDIO!$J$86*SUBSIDIO!$Y$86)*(0.02)/(1-0.02)</f>
        <v>0</v>
      </c>
      <c r="AE86" s="52">
        <f ca="1">((SUBSIDIO!$L$86*SUBSIDIO!$Z$86)+(SUBSIDIO!$N$86*SUBSIDIO!$AA$86))*(0.02)/(1-0.02)</f>
        <v>4697.8845597617492</v>
      </c>
      <c r="AF86" s="3" t="s">
        <v>610</v>
      </c>
    </row>
    <row r="87" spans="1:32" ht="11.25" customHeight="1" x14ac:dyDescent="0.25">
      <c r="A87" s="3" t="s">
        <v>21</v>
      </c>
      <c r="B87" s="3" t="s">
        <v>35</v>
      </c>
      <c r="C87" s="3" t="s">
        <v>36</v>
      </c>
      <c r="D87" s="3" t="s">
        <v>41</v>
      </c>
      <c r="E87" s="3" t="s">
        <v>50</v>
      </c>
      <c r="F87" s="3" t="s">
        <v>25</v>
      </c>
      <c r="G87" s="3" t="s">
        <v>25</v>
      </c>
      <c r="H87" s="3" t="s">
        <v>38</v>
      </c>
      <c r="I87" s="6">
        <v>44470</v>
      </c>
      <c r="J87" s="4">
        <v>0</v>
      </c>
      <c r="K87" s="52">
        <v>0</v>
      </c>
      <c r="L87" s="4">
        <v>357.52100000000002</v>
      </c>
      <c r="M87" s="52">
        <v>357.52100000000002</v>
      </c>
      <c r="N87" s="4">
        <v>357.52100000000002</v>
      </c>
      <c r="O87" s="52">
        <v>357.52100000000002</v>
      </c>
      <c r="P87" s="4">
        <v>0</v>
      </c>
      <c r="Q87" s="3" t="s">
        <v>26</v>
      </c>
      <c r="R87" s="3">
        <v>0</v>
      </c>
      <c r="S87" s="3">
        <v>0</v>
      </c>
      <c r="T87" s="3">
        <v>15</v>
      </c>
      <c r="U87" s="3">
        <v>67</v>
      </c>
      <c r="V87" s="52">
        <f>IF(ISERROR(VLOOKUP($S$87,'TAR FIN'!$A$1:$O$85,15,0)),0,VLOOKUP($S$87,'TAR FIN'!$A$1:$O$85,15,0))</f>
        <v>0</v>
      </c>
      <c r="W87" s="52">
        <f>IF(ISERROR(VLOOKUP($T$87,'TAR FIN'!$A$1:$O$85,15,0)),0,VLOOKUP($T$87,'TAR FIN'!$A$1:$O$85,15,0))*(1-0.04)</f>
        <v>54.6432</v>
      </c>
      <c r="X87" s="52">
        <f>IF(ISERROR(VLOOKUP($U$87,'TAR FIN'!$A$1:$O$85,15,0)),0,VLOOKUP($U$87,'TAR FIN'!$A$1:$O$85,15,0))*(1-0.04)</f>
        <v>257.1936</v>
      </c>
      <c r="Y87" s="52"/>
      <c r="Z87" s="52">
        <f ca="1">('TUSD BE'!$AM$12+'TUSD BF'!$AM$12+'TUSD CVA'!$AM$12)*1*(1-0.02)</f>
        <v>98.144213445836201</v>
      </c>
      <c r="AA87" s="52">
        <f>('TE BE'!$AB$6+'TE BF'!$AB$6+'TE CVA'!$AB$6)*1*(1-0.02)</f>
        <v>181.71240751544846</v>
      </c>
      <c r="AB87" s="52">
        <f>(SUBSIDIO!$J$87*SUBSIDIO!$V$87)*(0.04)/(1-0.04)</f>
        <v>0</v>
      </c>
      <c r="AC87" s="52">
        <f>((SUBSIDIO!$L$87*SUBSIDIO!$W$87)+(SUBSIDIO!$N$87*SUBSIDIO!$X$87))*(0.04)/(1-0.04)</f>
        <v>4645.341857200001</v>
      </c>
      <c r="AD87" s="52">
        <f>(SUBSIDIO!$J$87*SUBSIDIO!$Y$87)*(0.02)/(1-0.02)</f>
        <v>0</v>
      </c>
      <c r="AE87" s="52">
        <f ca="1">((SUBSIDIO!$L$87*SUBSIDIO!$Z$87)+(SUBSIDIO!$N$87*SUBSIDIO!$AA$87))*(0.02)/(1-0.02)</f>
        <v>2041.9309996469281</v>
      </c>
      <c r="AF87" s="3" t="s">
        <v>610</v>
      </c>
    </row>
    <row r="88" spans="1:32" ht="11.25" customHeight="1" x14ac:dyDescent="0.25">
      <c r="A88" s="3" t="s">
        <v>21</v>
      </c>
      <c r="B88" s="3" t="s">
        <v>35</v>
      </c>
      <c r="C88" s="3" t="s">
        <v>36</v>
      </c>
      <c r="D88" s="3" t="s">
        <v>41</v>
      </c>
      <c r="E88" s="3" t="s">
        <v>50</v>
      </c>
      <c r="F88" s="3" t="s">
        <v>25</v>
      </c>
      <c r="G88" s="3" t="s">
        <v>25</v>
      </c>
      <c r="H88" s="3" t="s">
        <v>38</v>
      </c>
      <c r="I88" s="6">
        <v>44501</v>
      </c>
      <c r="J88" s="4">
        <v>0</v>
      </c>
      <c r="K88" s="52">
        <v>0</v>
      </c>
      <c r="L88" s="4">
        <v>145.73699999999999</v>
      </c>
      <c r="M88" s="52">
        <v>145.73699999999999</v>
      </c>
      <c r="N88" s="4">
        <v>145.73699999999999</v>
      </c>
      <c r="O88" s="52">
        <v>145.73699999999999</v>
      </c>
      <c r="P88" s="4">
        <v>0</v>
      </c>
      <c r="Q88" s="3" t="s">
        <v>26</v>
      </c>
      <c r="R88" s="3">
        <v>0</v>
      </c>
      <c r="S88" s="3">
        <v>0</v>
      </c>
      <c r="T88" s="3">
        <v>15</v>
      </c>
      <c r="U88" s="3">
        <v>67</v>
      </c>
      <c r="V88" s="52">
        <f>IF(ISERROR(VLOOKUP($S$88,'TAR FIN'!$A$1:$O$85,15,0)),0,VLOOKUP($S$88,'TAR FIN'!$A$1:$O$85,15,0))</f>
        <v>0</v>
      </c>
      <c r="W88" s="52">
        <f>IF(ISERROR(VLOOKUP($T$88,'TAR FIN'!$A$1:$O$85,15,0)),0,VLOOKUP($T$88,'TAR FIN'!$A$1:$O$85,15,0))*(1-0.04)</f>
        <v>54.6432</v>
      </c>
      <c r="X88" s="52">
        <f>IF(ISERROR(VLOOKUP($U$88,'TAR FIN'!$A$1:$O$85,15,0)),0,VLOOKUP($U$88,'TAR FIN'!$A$1:$O$85,15,0))*(1-0.04)</f>
        <v>257.1936</v>
      </c>
      <c r="Y88" s="52"/>
      <c r="Z88" s="52">
        <f ca="1">('TUSD BE'!$AM$12+'TUSD BF'!$AM$12+'TUSD CVA'!$AM$12)*1*(1-0.02)</f>
        <v>98.144213445836201</v>
      </c>
      <c r="AA88" s="52">
        <f>('TE BE'!$AB$6+'TE BF'!$AB$6+'TE CVA'!$AB$6)*1*(1-0.02)</f>
        <v>181.71240751544846</v>
      </c>
      <c r="AB88" s="52">
        <f>(SUBSIDIO!$J$88*SUBSIDIO!$V$88)*(0.04)/(1-0.04)</f>
        <v>0</v>
      </c>
      <c r="AC88" s="52">
        <f>((SUBSIDIO!$L$88*SUBSIDIO!$W$88)+(SUBSIDIO!$N$88*SUBSIDIO!$X$88))*(0.04)/(1-0.04)</f>
        <v>1893.5899884000003</v>
      </c>
      <c r="AD88" s="52">
        <f>(SUBSIDIO!$J$88*SUBSIDIO!$Y$88)*(0.02)/(1-0.02)</f>
        <v>0</v>
      </c>
      <c r="AE88" s="52">
        <f ca="1">((SUBSIDIO!$L$88*SUBSIDIO!$Z$88)+(SUBSIDIO!$N$88*SUBSIDIO!$AA$88))*(0.02)/(1-0.02)</f>
        <v>832.35641569458664</v>
      </c>
      <c r="AF88" s="3" t="s">
        <v>610</v>
      </c>
    </row>
    <row r="89" spans="1:32" ht="11.25" customHeight="1" x14ac:dyDescent="0.25">
      <c r="A89" s="3" t="s">
        <v>21</v>
      </c>
      <c r="B89" s="3" t="s">
        <v>35</v>
      </c>
      <c r="C89" s="3" t="s">
        <v>36</v>
      </c>
      <c r="D89" s="3" t="s">
        <v>41</v>
      </c>
      <c r="E89" s="3" t="s">
        <v>50</v>
      </c>
      <c r="F89" s="3" t="s">
        <v>25</v>
      </c>
      <c r="G89" s="3" t="s">
        <v>25</v>
      </c>
      <c r="H89" s="3" t="s">
        <v>38</v>
      </c>
      <c r="I89" s="6">
        <v>44531</v>
      </c>
      <c r="J89" s="4">
        <v>0</v>
      </c>
      <c r="K89" s="52">
        <v>0</v>
      </c>
      <c r="L89" s="4">
        <v>56.844000000000001</v>
      </c>
      <c r="M89" s="52">
        <v>56.844000000000001</v>
      </c>
      <c r="N89" s="4">
        <v>56.844000000000001</v>
      </c>
      <c r="O89" s="52">
        <v>56.844000000000001</v>
      </c>
      <c r="P89" s="4">
        <v>0</v>
      </c>
      <c r="Q89" s="3" t="s">
        <v>26</v>
      </c>
      <c r="R89" s="3">
        <v>0</v>
      </c>
      <c r="S89" s="3">
        <v>0</v>
      </c>
      <c r="T89" s="3">
        <v>15</v>
      </c>
      <c r="U89" s="3">
        <v>67</v>
      </c>
      <c r="V89" s="52">
        <f>IF(ISERROR(VLOOKUP($S$89,'TAR FIN'!$A$1:$O$85,15,0)),0,VLOOKUP($S$89,'TAR FIN'!$A$1:$O$85,15,0))</f>
        <v>0</v>
      </c>
      <c r="W89" s="52">
        <f>IF(ISERROR(VLOOKUP($T$89,'TAR FIN'!$A$1:$O$85,15,0)),0,VLOOKUP($T$89,'TAR FIN'!$A$1:$O$85,15,0))*(1-0.04)</f>
        <v>54.6432</v>
      </c>
      <c r="X89" s="52">
        <f>IF(ISERROR(VLOOKUP($U$89,'TAR FIN'!$A$1:$O$85,15,0)),0,VLOOKUP($U$89,'TAR FIN'!$A$1:$O$85,15,0))*(1-0.04)</f>
        <v>257.1936</v>
      </c>
      <c r="Y89" s="52"/>
      <c r="Z89" s="52">
        <f ca="1">('TUSD BE'!$AM$12+'TUSD BF'!$AM$12+'TUSD CVA'!$AM$12)*1*(1-0.02)</f>
        <v>98.144213445836201</v>
      </c>
      <c r="AA89" s="52">
        <f>('TE BE'!$AB$6+'TE BF'!$AB$6+'TE CVA'!$AB$6)*1*(1-0.02)</f>
        <v>181.71240751544846</v>
      </c>
      <c r="AB89" s="52">
        <f>(SUBSIDIO!$J$89*SUBSIDIO!$V$89)*(0.04)/(1-0.04)</f>
        <v>0</v>
      </c>
      <c r="AC89" s="52">
        <f>((SUBSIDIO!$L$89*SUBSIDIO!$W$89)+(SUBSIDIO!$N$89*SUBSIDIO!$X$89))*(0.04)/(1-0.04)</f>
        <v>738.58546080000008</v>
      </c>
      <c r="AD89" s="52">
        <f>(SUBSIDIO!$J$89*SUBSIDIO!$Y$89)*(0.02)/(1-0.02)</f>
        <v>0</v>
      </c>
      <c r="AE89" s="52">
        <f ca="1">((SUBSIDIO!$L$89*SUBSIDIO!$Z$89)+(SUBSIDIO!$N$89*SUBSIDIO!$AA$89))*(0.02)/(1-0.02)</f>
        <v>324.65652575353607</v>
      </c>
      <c r="AF89" s="3" t="s">
        <v>610</v>
      </c>
    </row>
    <row r="90" spans="1:32" ht="11.25" customHeight="1" x14ac:dyDescent="0.25">
      <c r="A90" s="3" t="s">
        <v>21</v>
      </c>
      <c r="B90" s="3" t="s">
        <v>35</v>
      </c>
      <c r="C90" s="3" t="s">
        <v>36</v>
      </c>
      <c r="D90" s="3" t="s">
        <v>41</v>
      </c>
      <c r="E90" s="3" t="s">
        <v>50</v>
      </c>
      <c r="F90" s="3" t="s">
        <v>25</v>
      </c>
      <c r="G90" s="3" t="s">
        <v>25</v>
      </c>
      <c r="H90" s="3" t="s">
        <v>38</v>
      </c>
      <c r="I90" s="6">
        <v>44562</v>
      </c>
      <c r="J90" s="4">
        <v>0</v>
      </c>
      <c r="K90" s="52">
        <v>0</v>
      </c>
      <c r="L90" s="4">
        <v>53.448999999999998</v>
      </c>
      <c r="M90" s="52">
        <v>53.448999999999998</v>
      </c>
      <c r="N90" s="4">
        <v>53.448999999999998</v>
      </c>
      <c r="O90" s="52">
        <v>53.448999999999998</v>
      </c>
      <c r="P90" s="4">
        <v>0</v>
      </c>
      <c r="Q90" s="3" t="s">
        <v>26</v>
      </c>
      <c r="R90" s="3">
        <v>0</v>
      </c>
      <c r="S90" s="3">
        <v>0</v>
      </c>
      <c r="T90" s="3">
        <v>15</v>
      </c>
      <c r="U90" s="3">
        <v>67</v>
      </c>
      <c r="V90" s="52">
        <f>IF(ISERROR(VLOOKUP($S$90,'TAR FIN'!$A$1:$O$85,15,0)),0,VLOOKUP($S$90,'TAR FIN'!$A$1:$O$85,15,0))</f>
        <v>0</v>
      </c>
      <c r="W90" s="52">
        <f>IF(ISERROR(VLOOKUP($T$90,'TAR FIN'!$A$1:$O$85,15,0)),0,VLOOKUP($T$90,'TAR FIN'!$A$1:$O$85,15,0))*(1-0.04)</f>
        <v>54.6432</v>
      </c>
      <c r="X90" s="52">
        <f>IF(ISERROR(VLOOKUP($U$90,'TAR FIN'!$A$1:$O$85,15,0)),0,VLOOKUP($U$90,'TAR FIN'!$A$1:$O$85,15,0))*(1-0.04)</f>
        <v>257.1936</v>
      </c>
      <c r="Y90" s="52"/>
      <c r="Z90" s="52">
        <f ca="1">('TUSD BE'!$AM$12+'TUSD BF'!$AM$12+'TUSD CVA'!$AM$12)*1*(1-0.02)</f>
        <v>98.144213445836201</v>
      </c>
      <c r="AA90" s="52">
        <f>('TE BE'!$AB$6+'TE BF'!$AB$6+'TE CVA'!$AB$6)*1*(1-0.02)</f>
        <v>181.71240751544846</v>
      </c>
      <c r="AB90" s="52">
        <f>(SUBSIDIO!$J$90*SUBSIDIO!$V$90)*(0.04)/(1-0.04)</f>
        <v>0</v>
      </c>
      <c r="AC90" s="52">
        <f>((SUBSIDIO!$L$90*SUBSIDIO!$W$90)+(SUBSIDIO!$N$90*SUBSIDIO!$X$90))*(0.04)/(1-0.04)</f>
        <v>694.47354679999989</v>
      </c>
      <c r="AD90" s="52">
        <f>(SUBSIDIO!$J$90*SUBSIDIO!$Y$90)*(0.02)/(1-0.02)</f>
        <v>0</v>
      </c>
      <c r="AE90" s="52">
        <f ca="1">((SUBSIDIO!$L$90*SUBSIDIO!$Z$90)+(SUBSIDIO!$N$90*SUBSIDIO!$AA$90))*(0.02)/(1-0.02)</f>
        <v>305.26645987264703</v>
      </c>
      <c r="AF90" s="3" t="s">
        <v>610</v>
      </c>
    </row>
    <row r="91" spans="1:32" ht="11.25" customHeight="1" x14ac:dyDescent="0.25">
      <c r="A91" s="3" t="s">
        <v>21</v>
      </c>
      <c r="B91" s="3" t="s">
        <v>35</v>
      </c>
      <c r="C91" s="3" t="s">
        <v>36</v>
      </c>
      <c r="D91" s="3" t="s">
        <v>41</v>
      </c>
      <c r="E91" s="3" t="s">
        <v>50</v>
      </c>
      <c r="F91" s="3" t="s">
        <v>25</v>
      </c>
      <c r="G91" s="3" t="s">
        <v>25</v>
      </c>
      <c r="H91" s="3" t="s">
        <v>38</v>
      </c>
      <c r="I91" s="6">
        <v>44593</v>
      </c>
      <c r="J91" s="4">
        <v>0</v>
      </c>
      <c r="K91" s="52">
        <v>0</v>
      </c>
      <c r="L91" s="4">
        <v>74.162999999999997</v>
      </c>
      <c r="M91" s="52">
        <v>74.162999999999997</v>
      </c>
      <c r="N91" s="4">
        <v>74.162999999999997</v>
      </c>
      <c r="O91" s="52">
        <v>74.162999999999997</v>
      </c>
      <c r="P91" s="4">
        <v>0</v>
      </c>
      <c r="Q91" s="3" t="s">
        <v>26</v>
      </c>
      <c r="R91" s="3">
        <v>0</v>
      </c>
      <c r="S91" s="3">
        <v>0</v>
      </c>
      <c r="T91" s="3">
        <v>15</v>
      </c>
      <c r="U91" s="3">
        <v>67</v>
      </c>
      <c r="V91" s="52">
        <f>IF(ISERROR(VLOOKUP($S$91,'TAR FIN'!$A$1:$O$85,15,0)),0,VLOOKUP($S$91,'TAR FIN'!$A$1:$O$85,15,0))</f>
        <v>0</v>
      </c>
      <c r="W91" s="52">
        <f>IF(ISERROR(VLOOKUP($T$91,'TAR FIN'!$A$1:$O$85,15,0)),0,VLOOKUP($T$91,'TAR FIN'!$A$1:$O$85,15,0))*(1-0.04)</f>
        <v>54.6432</v>
      </c>
      <c r="X91" s="52">
        <f>IF(ISERROR(VLOOKUP($U$91,'TAR FIN'!$A$1:$O$85,15,0)),0,VLOOKUP($U$91,'TAR FIN'!$A$1:$O$85,15,0))*(1-0.04)</f>
        <v>257.1936</v>
      </c>
      <c r="Y91" s="52"/>
      <c r="Z91" s="52">
        <f ca="1">('TUSD BE'!$AM$12+'TUSD BF'!$AM$12+'TUSD CVA'!$AM$12)*1*(1-0.02)</f>
        <v>98.144213445836201</v>
      </c>
      <c r="AA91" s="52">
        <f>('TE BE'!$AB$6+'TE BF'!$AB$6+'TE CVA'!$AB$6)*1*(1-0.02)</f>
        <v>181.71240751544846</v>
      </c>
      <c r="AB91" s="52">
        <f>(SUBSIDIO!$J$91*SUBSIDIO!$V$91)*(0.04)/(1-0.04)</f>
        <v>0</v>
      </c>
      <c r="AC91" s="52">
        <f>((SUBSIDIO!$L$91*SUBSIDIO!$W$91)+(SUBSIDIO!$N$91*SUBSIDIO!$X$91))*(0.04)/(1-0.04)</f>
        <v>963.61469160000001</v>
      </c>
      <c r="AD91" s="52">
        <f>(SUBSIDIO!$J$91*SUBSIDIO!$Y$91)*(0.02)/(1-0.02)</f>
        <v>0</v>
      </c>
      <c r="AE91" s="52">
        <f ca="1">((SUBSIDIO!$L$91*SUBSIDIO!$Z$91)+(SUBSIDIO!$N$91*SUBSIDIO!$AA$91))*(0.02)/(1-0.02)</f>
        <v>423.57156286432155</v>
      </c>
      <c r="AF91" s="3" t="s">
        <v>610</v>
      </c>
    </row>
    <row r="92" spans="1:32" ht="11.25" customHeight="1" x14ac:dyDescent="0.25">
      <c r="A92" s="3" t="s">
        <v>21</v>
      </c>
      <c r="B92" s="3" t="s">
        <v>35</v>
      </c>
      <c r="C92" s="3" t="s">
        <v>36</v>
      </c>
      <c r="D92" s="3" t="s">
        <v>41</v>
      </c>
      <c r="E92" s="3" t="s">
        <v>50</v>
      </c>
      <c r="F92" s="3" t="s">
        <v>25</v>
      </c>
      <c r="G92" s="3" t="s">
        <v>25</v>
      </c>
      <c r="H92" s="3" t="s">
        <v>38</v>
      </c>
      <c r="I92" s="6">
        <v>44621</v>
      </c>
      <c r="J92" s="4">
        <v>0</v>
      </c>
      <c r="K92" s="52">
        <v>0</v>
      </c>
      <c r="L92" s="4">
        <v>66.212000000000003</v>
      </c>
      <c r="M92" s="52">
        <v>66.212000000000003</v>
      </c>
      <c r="N92" s="4">
        <v>66.212000000000003</v>
      </c>
      <c r="O92" s="52">
        <v>66.212000000000003</v>
      </c>
      <c r="P92" s="4">
        <v>0</v>
      </c>
      <c r="Q92" s="3" t="s">
        <v>26</v>
      </c>
      <c r="R92" s="3">
        <v>0</v>
      </c>
      <c r="S92" s="3">
        <v>0</v>
      </c>
      <c r="T92" s="3">
        <v>15</v>
      </c>
      <c r="U92" s="3">
        <v>67</v>
      </c>
      <c r="V92" s="52">
        <f>IF(ISERROR(VLOOKUP($S$92,'TAR FIN'!$A$1:$O$85,15,0)),0,VLOOKUP($S$92,'TAR FIN'!$A$1:$O$85,15,0))</f>
        <v>0</v>
      </c>
      <c r="W92" s="52">
        <f>IF(ISERROR(VLOOKUP($T$92,'TAR FIN'!$A$1:$O$85,15,0)),0,VLOOKUP($T$92,'TAR FIN'!$A$1:$O$85,15,0))*(1-0.04)</f>
        <v>54.6432</v>
      </c>
      <c r="X92" s="52">
        <f>IF(ISERROR(VLOOKUP($U$92,'TAR FIN'!$A$1:$O$85,15,0)),0,VLOOKUP($U$92,'TAR FIN'!$A$1:$O$85,15,0))*(1-0.04)</f>
        <v>257.1936</v>
      </c>
      <c r="Y92" s="52"/>
      <c r="Z92" s="52">
        <f ca="1">('TUSD BE'!$AM$12+'TUSD BF'!$AM$12+'TUSD CVA'!$AM$12)*1*(1-0.02)</f>
        <v>98.144213445836201</v>
      </c>
      <c r="AA92" s="52">
        <f>('TE BE'!$AB$6+'TE BF'!$AB$6+'TE CVA'!$AB$6)*1*(1-0.02)</f>
        <v>181.71240751544846</v>
      </c>
      <c r="AB92" s="52">
        <f>(SUBSIDIO!$J$92*SUBSIDIO!$V$92)*(0.04)/(1-0.04)</f>
        <v>0</v>
      </c>
      <c r="AC92" s="52">
        <f>((SUBSIDIO!$L$92*SUBSIDIO!$W$92)+(SUBSIDIO!$N$92*SUBSIDIO!$X$92))*(0.04)/(1-0.04)</f>
        <v>860.30575839999995</v>
      </c>
      <c r="AD92" s="52">
        <f>(SUBSIDIO!$J$92*SUBSIDIO!$Y$92)*(0.02)/(1-0.02)</f>
        <v>0</v>
      </c>
      <c r="AE92" s="52">
        <f ca="1">((SUBSIDIO!$L$92*SUBSIDIO!$Z$92)+(SUBSIDIO!$N$92*SUBSIDIO!$AA$92))*(0.02)/(1-0.02)</f>
        <v>378.16054259364455</v>
      </c>
      <c r="AF92" s="3" t="s">
        <v>610</v>
      </c>
    </row>
    <row r="93" spans="1:32" ht="11.25" customHeight="1" x14ac:dyDescent="0.25">
      <c r="A93" s="3" t="s">
        <v>21</v>
      </c>
      <c r="B93" s="3" t="s">
        <v>35</v>
      </c>
      <c r="C93" s="3" t="s">
        <v>36</v>
      </c>
      <c r="D93" s="3" t="s">
        <v>41</v>
      </c>
      <c r="E93" s="3" t="s">
        <v>50</v>
      </c>
      <c r="F93" s="3" t="s">
        <v>25</v>
      </c>
      <c r="G93" s="3" t="s">
        <v>25</v>
      </c>
      <c r="H93" s="3" t="s">
        <v>38</v>
      </c>
      <c r="I93" s="6">
        <v>44652</v>
      </c>
      <c r="J93" s="4">
        <v>0</v>
      </c>
      <c r="K93" s="52">
        <v>0</v>
      </c>
      <c r="L93" s="4">
        <v>178.85499999999999</v>
      </c>
      <c r="M93" s="52">
        <v>178.85499999999999</v>
      </c>
      <c r="N93" s="4">
        <v>178.85499999999999</v>
      </c>
      <c r="O93" s="52">
        <v>178.85499999999999</v>
      </c>
      <c r="P93" s="4">
        <v>0</v>
      </c>
      <c r="Q93" s="3" t="s">
        <v>26</v>
      </c>
      <c r="R93" s="3">
        <v>0</v>
      </c>
      <c r="S93" s="3">
        <v>0</v>
      </c>
      <c r="T93" s="3">
        <v>15</v>
      </c>
      <c r="U93" s="3">
        <v>67</v>
      </c>
      <c r="V93" s="52">
        <f>IF(ISERROR(VLOOKUP($S$93,'TAR FIN'!$A$1:$O$85,15,0)),0,VLOOKUP($S$93,'TAR FIN'!$A$1:$O$85,15,0))</f>
        <v>0</v>
      </c>
      <c r="W93" s="52">
        <f>IF(ISERROR(VLOOKUP($T$93,'TAR FIN'!$A$1:$O$85,15,0)),0,VLOOKUP($T$93,'TAR FIN'!$A$1:$O$85,15,0))*(1-0.04)</f>
        <v>54.6432</v>
      </c>
      <c r="X93" s="52">
        <f>IF(ISERROR(VLOOKUP($U$93,'TAR FIN'!$A$1:$O$85,15,0)),0,VLOOKUP($U$93,'TAR FIN'!$A$1:$O$85,15,0))*(1-0.04)</f>
        <v>257.1936</v>
      </c>
      <c r="Y93" s="52"/>
      <c r="Z93" s="52">
        <f ca="1">('TUSD BE'!$AM$12+'TUSD BF'!$AM$12+'TUSD CVA'!$AM$12)*1*(1-0.02)</f>
        <v>98.144213445836201</v>
      </c>
      <c r="AA93" s="52">
        <f>('TE BE'!$AB$6+'TE BF'!$AB$6+'TE CVA'!$AB$6)*1*(1-0.02)</f>
        <v>181.71240751544846</v>
      </c>
      <c r="AB93" s="52">
        <f>(SUBSIDIO!$J$93*SUBSIDIO!$V$93)*(0.04)/(1-0.04)</f>
        <v>0</v>
      </c>
      <c r="AC93" s="52">
        <f>((SUBSIDIO!$L$93*SUBSIDIO!$W$93)+(SUBSIDIO!$N$93*SUBSIDIO!$X$93))*(0.04)/(1-0.04)</f>
        <v>2323.8987860000002</v>
      </c>
      <c r="AD93" s="52">
        <f>(SUBSIDIO!$J$93*SUBSIDIO!$Y$93)*(0.02)/(1-0.02)</f>
        <v>0</v>
      </c>
      <c r="AE93" s="52">
        <f ca="1">((SUBSIDIO!$L$93*SUBSIDIO!$Z$93)+(SUBSIDIO!$N$93*SUBSIDIO!$AA$93))*(0.02)/(1-0.02)</f>
        <v>1021.5052233067462</v>
      </c>
      <c r="AF93" s="3" t="s">
        <v>610</v>
      </c>
    </row>
    <row r="94" spans="1:32" ht="11.25" customHeight="1" x14ac:dyDescent="0.25">
      <c r="A94" s="3" t="s">
        <v>21</v>
      </c>
      <c r="B94" s="3" t="s">
        <v>35</v>
      </c>
      <c r="C94" s="3" t="s">
        <v>36</v>
      </c>
      <c r="D94" s="3" t="s">
        <v>41</v>
      </c>
      <c r="E94" s="3" t="s">
        <v>50</v>
      </c>
      <c r="F94" s="3" t="s">
        <v>25</v>
      </c>
      <c r="G94" s="3" t="s">
        <v>25</v>
      </c>
      <c r="H94" s="3" t="s">
        <v>38</v>
      </c>
      <c r="I94" s="6">
        <v>44682</v>
      </c>
      <c r="J94" s="4">
        <v>0</v>
      </c>
      <c r="K94" s="52">
        <v>0</v>
      </c>
      <c r="L94" s="4">
        <v>468.88299999999998</v>
      </c>
      <c r="M94" s="52">
        <v>468.88299999999998</v>
      </c>
      <c r="N94" s="4">
        <v>468.88299999999998</v>
      </c>
      <c r="O94" s="52">
        <v>468.88299999999998</v>
      </c>
      <c r="P94" s="4">
        <v>0</v>
      </c>
      <c r="Q94" s="3" t="s">
        <v>26</v>
      </c>
      <c r="R94" s="3">
        <v>0</v>
      </c>
      <c r="S94" s="3">
        <v>0</v>
      </c>
      <c r="T94" s="3">
        <v>15</v>
      </c>
      <c r="U94" s="3">
        <v>67</v>
      </c>
      <c r="V94" s="52">
        <f>IF(ISERROR(VLOOKUP($S$94,'TAR FIN'!$A$1:$O$85,15,0)),0,VLOOKUP($S$94,'TAR FIN'!$A$1:$O$85,15,0))</f>
        <v>0</v>
      </c>
      <c r="W94" s="52">
        <f>IF(ISERROR(VLOOKUP($T$94,'TAR FIN'!$A$1:$O$85,15,0)),0,VLOOKUP($T$94,'TAR FIN'!$A$1:$O$85,15,0))*(1-0.04)</f>
        <v>54.6432</v>
      </c>
      <c r="X94" s="52">
        <f>IF(ISERROR(VLOOKUP($U$94,'TAR FIN'!$A$1:$O$85,15,0)),0,VLOOKUP($U$94,'TAR FIN'!$A$1:$O$85,15,0))*(1-0.04)</f>
        <v>257.1936</v>
      </c>
      <c r="Y94" s="52"/>
      <c r="Z94" s="52">
        <f ca="1">('TUSD BE'!$AM$12+'TUSD BF'!$AM$12+'TUSD CVA'!$AM$12)*1*(1-0.02)</f>
        <v>98.144213445836201</v>
      </c>
      <c r="AA94" s="52">
        <f>('TE BE'!$AB$6+'TE BF'!$AB$6+'TE CVA'!$AB$6)*1*(1-0.02)</f>
        <v>181.71240751544846</v>
      </c>
      <c r="AB94" s="52">
        <f>(SUBSIDIO!$J$94*SUBSIDIO!$V$94)*(0.04)/(1-0.04)</f>
        <v>0</v>
      </c>
      <c r="AC94" s="52">
        <f>((SUBSIDIO!$L$94*SUBSIDIO!$W$94)+(SUBSIDIO!$N$94*SUBSIDIO!$X$94))*(0.04)/(1-0.04)</f>
        <v>6092.2905956000013</v>
      </c>
      <c r="AD94" s="52">
        <f>(SUBSIDIO!$J$94*SUBSIDIO!$Y$94)*(0.02)/(1-0.02)</f>
        <v>0</v>
      </c>
      <c r="AE94" s="52">
        <f ca="1">((SUBSIDIO!$L$94*SUBSIDIO!$Z$94)+(SUBSIDIO!$N$94*SUBSIDIO!$AA$94))*(0.02)/(1-0.02)</f>
        <v>2677.9594286977554</v>
      </c>
      <c r="AF94" s="3" t="s">
        <v>610</v>
      </c>
    </row>
    <row r="95" spans="1:32" ht="11.25" customHeight="1" x14ac:dyDescent="0.25">
      <c r="A95" s="3" t="s">
        <v>21</v>
      </c>
      <c r="B95" s="3" t="s">
        <v>35</v>
      </c>
      <c r="C95" s="3" t="s">
        <v>36</v>
      </c>
      <c r="D95" s="3" t="s">
        <v>41</v>
      </c>
      <c r="E95" s="3" t="s">
        <v>50</v>
      </c>
      <c r="F95" s="3" t="s">
        <v>25</v>
      </c>
      <c r="G95" s="3" t="s">
        <v>25</v>
      </c>
      <c r="H95" s="3" t="s">
        <v>38</v>
      </c>
      <c r="I95" s="6">
        <v>44713</v>
      </c>
      <c r="J95" s="4">
        <v>0</v>
      </c>
      <c r="K95" s="52">
        <v>0</v>
      </c>
      <c r="L95" s="4">
        <v>106.05</v>
      </c>
      <c r="M95" s="52">
        <v>106.05</v>
      </c>
      <c r="N95" s="4">
        <v>106.05</v>
      </c>
      <c r="O95" s="52">
        <v>106.05</v>
      </c>
      <c r="P95" s="4">
        <v>0</v>
      </c>
      <c r="Q95" s="3" t="s">
        <v>26</v>
      </c>
      <c r="R95" s="3">
        <v>0</v>
      </c>
      <c r="S95" s="3">
        <v>0</v>
      </c>
      <c r="T95" s="3">
        <v>15</v>
      </c>
      <c r="U95" s="3">
        <v>67</v>
      </c>
      <c r="V95" s="52">
        <f>IF(ISERROR(VLOOKUP($S$95,'TAR FIN'!$A$1:$O$85,15,0)),0,VLOOKUP($S$95,'TAR FIN'!$A$1:$O$85,15,0))</f>
        <v>0</v>
      </c>
      <c r="W95" s="52">
        <f>IF(ISERROR(VLOOKUP($T$95,'TAR FIN'!$A$1:$O$85,15,0)),0,VLOOKUP($T$95,'TAR FIN'!$A$1:$O$85,15,0))*(1-0.04)</f>
        <v>54.6432</v>
      </c>
      <c r="X95" s="52">
        <f>IF(ISERROR(VLOOKUP($U$95,'TAR FIN'!$A$1:$O$85,15,0)),0,VLOOKUP($U$95,'TAR FIN'!$A$1:$O$85,15,0))*(1-0.04)</f>
        <v>257.1936</v>
      </c>
      <c r="Y95" s="52"/>
      <c r="Z95" s="52">
        <f ca="1">('TUSD BE'!$AM$12+'TUSD BF'!$AM$12+'TUSD CVA'!$AM$12)*1*(1-0.02)</f>
        <v>98.144213445836201</v>
      </c>
      <c r="AA95" s="52">
        <f>('TE BE'!$AB$6+'TE BF'!$AB$6+'TE CVA'!$AB$6)*1*(1-0.02)</f>
        <v>181.71240751544846</v>
      </c>
      <c r="AB95" s="52">
        <f>(SUBSIDIO!$J$95*SUBSIDIO!$V$95)*(0.04)/(1-0.04)</f>
        <v>0</v>
      </c>
      <c r="AC95" s="52">
        <f>((SUBSIDIO!$L$95*SUBSIDIO!$W$95)+(SUBSIDIO!$N$95*SUBSIDIO!$X$95))*(0.04)/(1-0.04)</f>
        <v>1377.9288600000002</v>
      </c>
      <c r="AD95" s="52">
        <f>(SUBSIDIO!$J$95*SUBSIDIO!$Y$95)*(0.02)/(1-0.02)</f>
        <v>0</v>
      </c>
      <c r="AE95" s="52">
        <f ca="1">((SUBSIDIO!$L$95*SUBSIDIO!$Z$95)+(SUBSIDIO!$N$95*SUBSIDIO!$AA$95))*(0.02)/(1-0.02)</f>
        <v>605.6896867947803</v>
      </c>
      <c r="AF95" s="3" t="s">
        <v>610</v>
      </c>
    </row>
    <row r="96" spans="1:32" ht="11.25" customHeight="1" x14ac:dyDescent="0.25">
      <c r="A96" s="3" t="s">
        <v>21</v>
      </c>
      <c r="B96" s="3" t="s">
        <v>35</v>
      </c>
      <c r="C96" s="3" t="s">
        <v>36</v>
      </c>
      <c r="D96" s="3" t="s">
        <v>41</v>
      </c>
      <c r="E96" s="3" t="s">
        <v>50</v>
      </c>
      <c r="F96" s="3" t="s">
        <v>25</v>
      </c>
      <c r="G96" s="3" t="s">
        <v>25</v>
      </c>
      <c r="H96" s="3" t="s">
        <v>38</v>
      </c>
      <c r="I96" s="6">
        <v>44743</v>
      </c>
      <c r="J96" s="4">
        <v>0</v>
      </c>
      <c r="K96" s="52">
        <v>0</v>
      </c>
      <c r="L96" s="4">
        <v>361.17</v>
      </c>
      <c r="M96" s="52">
        <v>361.17</v>
      </c>
      <c r="N96" s="4">
        <v>361.17</v>
      </c>
      <c r="O96" s="52">
        <v>361.17</v>
      </c>
      <c r="P96" s="4">
        <v>0</v>
      </c>
      <c r="Q96" s="3" t="s">
        <v>26</v>
      </c>
      <c r="R96" s="3">
        <v>0</v>
      </c>
      <c r="S96" s="3">
        <v>0</v>
      </c>
      <c r="T96" s="3">
        <v>15</v>
      </c>
      <c r="U96" s="3">
        <v>67</v>
      </c>
      <c r="V96" s="52">
        <f>IF(ISERROR(VLOOKUP($S$96,'TAR FIN'!$A$1:$O$85,15,0)),0,VLOOKUP($S$96,'TAR FIN'!$A$1:$O$85,15,0))</f>
        <v>0</v>
      </c>
      <c r="W96" s="52">
        <f>IF(ISERROR(VLOOKUP($T$96,'TAR FIN'!$A$1:$O$85,15,0)),0,VLOOKUP($T$96,'TAR FIN'!$A$1:$O$85,15,0))*(1-0.04)</f>
        <v>54.6432</v>
      </c>
      <c r="X96" s="52">
        <f>IF(ISERROR(VLOOKUP($U$96,'TAR FIN'!$A$1:$O$85,15,0)),0,VLOOKUP($U$96,'TAR FIN'!$A$1:$O$85,15,0))*(1-0.04)</f>
        <v>257.1936</v>
      </c>
      <c r="Y96" s="52"/>
      <c r="Z96" s="52">
        <f ca="1">('TUSD BE'!$AM$12+'TUSD BF'!$AM$12+'TUSD CVA'!$AM$12)*1*(1-0.02)</f>
        <v>98.144213445836201</v>
      </c>
      <c r="AA96" s="52">
        <f>('TE BE'!$AB$6+'TE BF'!$AB$6+'TE CVA'!$AB$6)*1*(1-0.02)</f>
        <v>181.71240751544846</v>
      </c>
      <c r="AB96" s="52">
        <f>(SUBSIDIO!$J$96*SUBSIDIO!$V$96)*(0.04)/(1-0.04)</f>
        <v>0</v>
      </c>
      <c r="AC96" s="52">
        <f>((SUBSIDIO!$L$96*SUBSIDIO!$W$96)+(SUBSIDIO!$N$96*SUBSIDIO!$X$96))*(0.04)/(1-0.04)</f>
        <v>4692.7540440000012</v>
      </c>
      <c r="AD96" s="52">
        <f>(SUBSIDIO!$J$96*SUBSIDIO!$Y$96)*(0.02)/(1-0.02)</f>
        <v>0</v>
      </c>
      <c r="AE96" s="52">
        <f ca="1">((SUBSIDIO!$L$96*SUBSIDIO!$Z$96)+(SUBSIDIO!$N$96*SUBSIDIO!$AA$96))*(0.02)/(1-0.02)</f>
        <v>2062.7717508691262</v>
      </c>
      <c r="AF96" s="3" t="s">
        <v>610</v>
      </c>
    </row>
    <row r="97" spans="1:32" ht="11.25" customHeight="1" x14ac:dyDescent="0.25">
      <c r="A97" s="3" t="s">
        <v>21</v>
      </c>
      <c r="B97" s="3" t="s">
        <v>35</v>
      </c>
      <c r="C97" s="3" t="s">
        <v>36</v>
      </c>
      <c r="D97" s="3" t="s">
        <v>41</v>
      </c>
      <c r="E97" s="3" t="s">
        <v>50</v>
      </c>
      <c r="F97" s="3" t="s">
        <v>25</v>
      </c>
      <c r="G97" s="3" t="s">
        <v>25</v>
      </c>
      <c r="H97" s="3" t="s">
        <v>38</v>
      </c>
      <c r="I97" s="6">
        <v>44774</v>
      </c>
      <c r="J97" s="4">
        <v>0</v>
      </c>
      <c r="K97" s="52">
        <v>0</v>
      </c>
      <c r="L97" s="4">
        <v>668.76499999999999</v>
      </c>
      <c r="M97" s="52">
        <v>668.76499999999999</v>
      </c>
      <c r="N97" s="4">
        <v>668.76499999999999</v>
      </c>
      <c r="O97" s="52">
        <v>668.76499999999999</v>
      </c>
      <c r="P97" s="4">
        <v>0</v>
      </c>
      <c r="Q97" s="3" t="s">
        <v>26</v>
      </c>
      <c r="R97" s="3">
        <v>0</v>
      </c>
      <c r="S97" s="3">
        <v>0</v>
      </c>
      <c r="T97" s="3">
        <v>15</v>
      </c>
      <c r="U97" s="3">
        <v>67</v>
      </c>
      <c r="V97" s="52">
        <f>IF(ISERROR(VLOOKUP($S$97,'TAR FIN'!$A$1:$O$85,15,0)),0,VLOOKUP($S$97,'TAR FIN'!$A$1:$O$85,15,0))</f>
        <v>0</v>
      </c>
      <c r="W97" s="52">
        <f>IF(ISERROR(VLOOKUP($T$97,'TAR FIN'!$A$1:$O$85,15,0)),0,VLOOKUP($T$97,'TAR FIN'!$A$1:$O$85,15,0))*(1-0.04)</f>
        <v>54.6432</v>
      </c>
      <c r="X97" s="52">
        <f>IF(ISERROR(VLOOKUP($U$97,'TAR FIN'!$A$1:$O$85,15,0)),0,VLOOKUP($U$97,'TAR FIN'!$A$1:$O$85,15,0))*(1-0.04)</f>
        <v>257.1936</v>
      </c>
      <c r="Y97" s="52"/>
      <c r="Z97" s="52">
        <f ca="1">('TUSD BE'!$AM$12+'TUSD BF'!$AM$12+'TUSD CVA'!$AM$12)*1*(1-0.02)</f>
        <v>98.144213445836201</v>
      </c>
      <c r="AA97" s="52">
        <f>('TE BE'!$AB$6+'TE BF'!$AB$6+'TE CVA'!$AB$6)*1*(1-0.02)</f>
        <v>181.71240751544846</v>
      </c>
      <c r="AB97" s="52">
        <f>(SUBSIDIO!$J$97*SUBSIDIO!$V$97)*(0.04)/(1-0.04)</f>
        <v>0</v>
      </c>
      <c r="AC97" s="52">
        <f>((SUBSIDIO!$L$97*SUBSIDIO!$W$97)+(SUBSIDIO!$N$97*SUBSIDIO!$X$97))*(0.04)/(1-0.04)</f>
        <v>8689.397398000001</v>
      </c>
      <c r="AD97" s="52">
        <f>(SUBSIDIO!$J$97*SUBSIDIO!$Y$97)*(0.02)/(1-0.02)</f>
        <v>0</v>
      </c>
      <c r="AE97" s="52">
        <f ca="1">((SUBSIDIO!$L$97*SUBSIDIO!$Z$97)+(SUBSIDIO!$N$97*SUBSIDIO!$AA$97))*(0.02)/(1-0.02)</f>
        <v>3819.557410554562</v>
      </c>
      <c r="AF97" s="3" t="s">
        <v>610</v>
      </c>
    </row>
    <row r="98" spans="1:32" ht="11.25" customHeight="1" x14ac:dyDescent="0.25">
      <c r="A98" s="3" t="s">
        <v>21</v>
      </c>
      <c r="B98" s="3" t="s">
        <v>35</v>
      </c>
      <c r="C98" s="3" t="s">
        <v>36</v>
      </c>
      <c r="D98" s="3" t="s">
        <v>41</v>
      </c>
      <c r="E98" s="3" t="s">
        <v>50</v>
      </c>
      <c r="F98" s="3" t="s">
        <v>25</v>
      </c>
      <c r="G98" s="3" t="s">
        <v>25</v>
      </c>
      <c r="H98" s="3" t="s">
        <v>25</v>
      </c>
      <c r="I98" s="6">
        <v>44440</v>
      </c>
      <c r="J98" s="4">
        <v>3715</v>
      </c>
      <c r="K98" s="52">
        <v>3715</v>
      </c>
      <c r="L98" s="4">
        <v>0</v>
      </c>
      <c r="M98" s="52">
        <v>0</v>
      </c>
      <c r="N98" s="4">
        <v>0</v>
      </c>
      <c r="O98" s="52">
        <v>0</v>
      </c>
      <c r="P98" s="4">
        <v>11</v>
      </c>
      <c r="Q98" s="3" t="s">
        <v>26</v>
      </c>
      <c r="R98" s="3">
        <v>0</v>
      </c>
      <c r="S98" s="3">
        <v>22</v>
      </c>
      <c r="T98" s="3">
        <v>0</v>
      </c>
      <c r="U98" s="3">
        <v>0</v>
      </c>
      <c r="V98" s="52">
        <f>IF(ISERROR(VLOOKUP($S$98,'TAR FIN'!$A$1:$O$85,15,0)),0,VLOOKUP($S$98,'TAR FIN'!$A$1:$O$85,15,0))*(1-0.04)</f>
        <v>21.446400000000001</v>
      </c>
      <c r="W98" s="52">
        <f>IF(ISERROR(VLOOKUP($T$98,'TAR FIN'!$A$1:$O$85,15,0)),0,VLOOKUP($T$98,'TAR FIN'!$A$1:$O$85,15,0))</f>
        <v>0</v>
      </c>
      <c r="X98" s="52">
        <f>IF(ISERROR(VLOOKUP($U$98,'TAR FIN'!$A$1:$O$85,15,0)),0,VLOOKUP($U$98,'TAR FIN'!$A$1:$O$85,15,0))</f>
        <v>0</v>
      </c>
      <c r="Y98" s="52">
        <f ca="1">('TUSD BE'!$AM$10+'TUSD BF'!$AM$10+'TUSD CVA'!$AM$10)*1*(1-0.02)</f>
        <v>27.47945129896609</v>
      </c>
      <c r="Z98" s="52"/>
      <c r="AA98" s="52"/>
      <c r="AB98" s="52">
        <f>(SUBSIDIO!$J$98*SUBSIDIO!$V$98)*(0.04)/(1-0.04)</f>
        <v>3319.7240000000006</v>
      </c>
      <c r="AC98" s="52">
        <f>((SUBSIDIO!$L$98*SUBSIDIO!$W$98)+(SUBSIDIO!$N$98*SUBSIDIO!$X$98))*(0.04)/(1-0.04)</f>
        <v>0</v>
      </c>
      <c r="AD98" s="52">
        <f ca="1">(SUBSIDIO!$J$98*SUBSIDIO!$Y$98)*(0.02)/(1-0.02)</f>
        <v>2083.3910525644701</v>
      </c>
      <c r="AE98" s="52">
        <f>((SUBSIDIO!$L$98*SUBSIDIO!$Z$98)+(SUBSIDIO!$N$98*SUBSIDIO!$AA$98))*(0.02)/(1-0.02)</f>
        <v>0</v>
      </c>
      <c r="AF98" s="3" t="s">
        <v>610</v>
      </c>
    </row>
    <row r="99" spans="1:32" ht="11.25" customHeight="1" x14ac:dyDescent="0.25">
      <c r="A99" s="3" t="s">
        <v>21</v>
      </c>
      <c r="B99" s="3" t="s">
        <v>35</v>
      </c>
      <c r="C99" s="3" t="s">
        <v>36</v>
      </c>
      <c r="D99" s="3" t="s">
        <v>41</v>
      </c>
      <c r="E99" s="3" t="s">
        <v>50</v>
      </c>
      <c r="F99" s="3" t="s">
        <v>25</v>
      </c>
      <c r="G99" s="3" t="s">
        <v>25</v>
      </c>
      <c r="H99" s="3" t="s">
        <v>25</v>
      </c>
      <c r="I99" s="6">
        <v>44470</v>
      </c>
      <c r="J99" s="4">
        <v>4452</v>
      </c>
      <c r="K99" s="52">
        <v>4452</v>
      </c>
      <c r="L99" s="4">
        <v>0</v>
      </c>
      <c r="M99" s="52">
        <v>0</v>
      </c>
      <c r="N99" s="4">
        <v>0</v>
      </c>
      <c r="O99" s="52">
        <v>0</v>
      </c>
      <c r="P99" s="4">
        <v>11</v>
      </c>
      <c r="Q99" s="3" t="s">
        <v>26</v>
      </c>
      <c r="R99" s="3">
        <v>0</v>
      </c>
      <c r="S99" s="3">
        <v>22</v>
      </c>
      <c r="T99" s="3">
        <v>0</v>
      </c>
      <c r="U99" s="3">
        <v>0</v>
      </c>
      <c r="V99" s="52">
        <f>IF(ISERROR(VLOOKUP($S$99,'TAR FIN'!$A$1:$O$85,15,0)),0,VLOOKUP($S$99,'TAR FIN'!$A$1:$O$85,15,0))*(1-0.04)</f>
        <v>21.446400000000001</v>
      </c>
      <c r="W99" s="52">
        <f>IF(ISERROR(VLOOKUP($T$99,'TAR FIN'!$A$1:$O$85,15,0)),0,VLOOKUP($T$99,'TAR FIN'!$A$1:$O$85,15,0))</f>
        <v>0</v>
      </c>
      <c r="X99" s="52">
        <f>IF(ISERROR(VLOOKUP($U$99,'TAR FIN'!$A$1:$O$85,15,0)),0,VLOOKUP($U$99,'TAR FIN'!$A$1:$O$85,15,0))</f>
        <v>0</v>
      </c>
      <c r="Y99" s="52">
        <f ca="1">('TUSD BE'!$AM$10+'TUSD BF'!$AM$10+'TUSD CVA'!$AM$10)*1*(1-0.02)</f>
        <v>27.47945129896609</v>
      </c>
      <c r="Z99" s="52"/>
      <c r="AA99" s="52"/>
      <c r="AB99" s="52">
        <f>(SUBSIDIO!$J$99*SUBSIDIO!$V$99)*(0.04)/(1-0.04)</f>
        <v>3978.3072000000002</v>
      </c>
      <c r="AC99" s="52">
        <f>((SUBSIDIO!$L$99*SUBSIDIO!$W$99)+(SUBSIDIO!$N$99*SUBSIDIO!$X$99))*(0.04)/(1-0.04)</f>
        <v>0</v>
      </c>
      <c r="AD99" s="52">
        <f ca="1">(SUBSIDIO!$J$99*SUBSIDIO!$Y$99)*(0.02)/(1-0.02)</f>
        <v>2496.7044323060622</v>
      </c>
      <c r="AE99" s="52">
        <f>((SUBSIDIO!$L$99*SUBSIDIO!$Z$99)+(SUBSIDIO!$N$99*SUBSIDIO!$AA$99))*(0.02)/(1-0.02)</f>
        <v>0</v>
      </c>
      <c r="AF99" s="3" t="s">
        <v>610</v>
      </c>
    </row>
    <row r="100" spans="1:32" ht="11.25" customHeight="1" x14ac:dyDescent="0.25">
      <c r="A100" s="3" t="s">
        <v>21</v>
      </c>
      <c r="B100" s="3" t="s">
        <v>35</v>
      </c>
      <c r="C100" s="3" t="s">
        <v>36</v>
      </c>
      <c r="D100" s="3" t="s">
        <v>41</v>
      </c>
      <c r="E100" s="3" t="s">
        <v>50</v>
      </c>
      <c r="F100" s="3" t="s">
        <v>25</v>
      </c>
      <c r="G100" s="3" t="s">
        <v>25</v>
      </c>
      <c r="H100" s="3" t="s">
        <v>25</v>
      </c>
      <c r="I100" s="6">
        <v>44501</v>
      </c>
      <c r="J100" s="4">
        <v>2411</v>
      </c>
      <c r="K100" s="52">
        <v>2411</v>
      </c>
      <c r="L100" s="4">
        <v>0</v>
      </c>
      <c r="M100" s="52">
        <v>0</v>
      </c>
      <c r="N100" s="4">
        <v>0</v>
      </c>
      <c r="O100" s="52">
        <v>0</v>
      </c>
      <c r="P100" s="4">
        <v>11</v>
      </c>
      <c r="Q100" s="3" t="s">
        <v>26</v>
      </c>
      <c r="R100" s="3">
        <v>0</v>
      </c>
      <c r="S100" s="3">
        <v>22</v>
      </c>
      <c r="T100" s="3">
        <v>0</v>
      </c>
      <c r="U100" s="3">
        <v>0</v>
      </c>
      <c r="V100" s="52">
        <f>IF(ISERROR(VLOOKUP($S$100,'TAR FIN'!$A$1:$O$85,15,0)),0,VLOOKUP($S$100,'TAR FIN'!$A$1:$O$85,15,0))*(1-0.04)</f>
        <v>21.446400000000001</v>
      </c>
      <c r="W100" s="52">
        <f>IF(ISERROR(VLOOKUP($T$100,'TAR FIN'!$A$1:$O$85,15,0)),0,VLOOKUP($T$100,'TAR FIN'!$A$1:$O$85,15,0))</f>
        <v>0</v>
      </c>
      <c r="X100" s="52">
        <f>IF(ISERROR(VLOOKUP($U$100,'TAR FIN'!$A$1:$O$85,15,0)),0,VLOOKUP($U$100,'TAR FIN'!$A$1:$O$85,15,0))</f>
        <v>0</v>
      </c>
      <c r="Y100" s="52">
        <f ca="1">('TUSD BE'!$AM$10+'TUSD BF'!$AM$10+'TUSD CVA'!$AM$10)*1*(1-0.02)</f>
        <v>27.47945129896609</v>
      </c>
      <c r="Z100" s="52"/>
      <c r="AA100" s="52"/>
      <c r="AB100" s="52">
        <f>(SUBSIDIO!$J$100*SUBSIDIO!$V$100)*(0.04)/(1-0.04)</f>
        <v>2154.4696000000004</v>
      </c>
      <c r="AC100" s="52">
        <f>((SUBSIDIO!$L$100*SUBSIDIO!$W$100)+(SUBSIDIO!$N$100*SUBSIDIO!$X$100))*(0.04)/(1-0.04)</f>
        <v>0</v>
      </c>
      <c r="AD100" s="52">
        <f ca="1">(SUBSIDIO!$J$100*SUBSIDIO!$Y$100)*(0.02)/(1-0.02)</f>
        <v>1352.1011649348418</v>
      </c>
      <c r="AE100" s="52">
        <f>((SUBSIDIO!$L$100*SUBSIDIO!$Z$100)+(SUBSIDIO!$N$100*SUBSIDIO!$AA$100))*(0.02)/(1-0.02)</f>
        <v>0</v>
      </c>
      <c r="AF100" s="3" t="s">
        <v>610</v>
      </c>
    </row>
    <row r="101" spans="1:32" ht="11.25" customHeight="1" x14ac:dyDescent="0.25">
      <c r="A101" s="3" t="s">
        <v>21</v>
      </c>
      <c r="B101" s="3" t="s">
        <v>35</v>
      </c>
      <c r="C101" s="3" t="s">
        <v>36</v>
      </c>
      <c r="D101" s="3" t="s">
        <v>41</v>
      </c>
      <c r="E101" s="3" t="s">
        <v>50</v>
      </c>
      <c r="F101" s="3" t="s">
        <v>25</v>
      </c>
      <c r="G101" s="3" t="s">
        <v>25</v>
      </c>
      <c r="H101" s="3" t="s">
        <v>25</v>
      </c>
      <c r="I101" s="6">
        <v>44531</v>
      </c>
      <c r="J101" s="4">
        <v>1746</v>
      </c>
      <c r="K101" s="52">
        <v>1746</v>
      </c>
      <c r="L101" s="4">
        <v>0</v>
      </c>
      <c r="M101" s="52">
        <v>0</v>
      </c>
      <c r="N101" s="4">
        <v>0</v>
      </c>
      <c r="O101" s="52">
        <v>0</v>
      </c>
      <c r="P101" s="4">
        <v>11</v>
      </c>
      <c r="Q101" s="3" t="s">
        <v>26</v>
      </c>
      <c r="R101" s="3">
        <v>0</v>
      </c>
      <c r="S101" s="3">
        <v>22</v>
      </c>
      <c r="T101" s="3">
        <v>0</v>
      </c>
      <c r="U101" s="3">
        <v>0</v>
      </c>
      <c r="V101" s="52">
        <f>IF(ISERROR(VLOOKUP($S$101,'TAR FIN'!$A$1:$O$85,15,0)),0,VLOOKUP($S$101,'TAR FIN'!$A$1:$O$85,15,0))*(1-0.04)</f>
        <v>21.446400000000001</v>
      </c>
      <c r="W101" s="52">
        <f>IF(ISERROR(VLOOKUP($T$101,'TAR FIN'!$A$1:$O$85,15,0)),0,VLOOKUP($T$101,'TAR FIN'!$A$1:$O$85,15,0))</f>
        <v>0</v>
      </c>
      <c r="X101" s="52">
        <f>IF(ISERROR(VLOOKUP($U$101,'TAR FIN'!$A$1:$O$85,15,0)),0,VLOOKUP($U$101,'TAR FIN'!$A$1:$O$85,15,0))</f>
        <v>0</v>
      </c>
      <c r="Y101" s="52">
        <f ca="1">('TUSD BE'!$AM$10+'TUSD BF'!$AM$10+'TUSD CVA'!$AM$10)*1*(1-0.02)</f>
        <v>27.47945129896609</v>
      </c>
      <c r="Z101" s="52"/>
      <c r="AA101" s="52"/>
      <c r="AB101" s="52">
        <f>(SUBSIDIO!$J$101*SUBSIDIO!$V$101)*(0.04)/(1-0.04)</f>
        <v>1560.2256000000002</v>
      </c>
      <c r="AC101" s="52">
        <f>((SUBSIDIO!$L$101*SUBSIDIO!$W$101)+(SUBSIDIO!$N$101*SUBSIDIO!$X$101))*(0.04)/(1-0.04)</f>
        <v>0</v>
      </c>
      <c r="AD101" s="52">
        <f ca="1">(SUBSIDIO!$J$101*SUBSIDIO!$Y$101)*(0.02)/(1-0.02)</f>
        <v>979.16575444887326</v>
      </c>
      <c r="AE101" s="52">
        <f>((SUBSIDIO!$L$101*SUBSIDIO!$Z$101)+(SUBSIDIO!$N$101*SUBSIDIO!$AA$101))*(0.02)/(1-0.02)</f>
        <v>0</v>
      </c>
      <c r="AF101" s="3" t="s">
        <v>610</v>
      </c>
    </row>
    <row r="102" spans="1:32" ht="11.25" customHeight="1" x14ac:dyDescent="0.25">
      <c r="A102" s="3" t="s">
        <v>21</v>
      </c>
      <c r="B102" s="3" t="s">
        <v>35</v>
      </c>
      <c r="C102" s="3" t="s">
        <v>36</v>
      </c>
      <c r="D102" s="3" t="s">
        <v>41</v>
      </c>
      <c r="E102" s="3" t="s">
        <v>50</v>
      </c>
      <c r="F102" s="3" t="s">
        <v>25</v>
      </c>
      <c r="G102" s="3" t="s">
        <v>25</v>
      </c>
      <c r="H102" s="3" t="s">
        <v>25</v>
      </c>
      <c r="I102" s="6">
        <v>44562</v>
      </c>
      <c r="J102" s="4">
        <v>1637</v>
      </c>
      <c r="K102" s="52">
        <v>1637</v>
      </c>
      <c r="L102" s="4">
        <v>0</v>
      </c>
      <c r="M102" s="52">
        <v>0</v>
      </c>
      <c r="N102" s="4">
        <v>0</v>
      </c>
      <c r="O102" s="52">
        <v>0</v>
      </c>
      <c r="P102" s="4">
        <v>11</v>
      </c>
      <c r="Q102" s="3" t="s">
        <v>26</v>
      </c>
      <c r="R102" s="3">
        <v>0</v>
      </c>
      <c r="S102" s="3">
        <v>22</v>
      </c>
      <c r="T102" s="3">
        <v>0</v>
      </c>
      <c r="U102" s="3">
        <v>0</v>
      </c>
      <c r="V102" s="52">
        <f>IF(ISERROR(VLOOKUP($S$102,'TAR FIN'!$A$1:$O$85,15,0)),0,VLOOKUP($S$102,'TAR FIN'!$A$1:$O$85,15,0))*(1-0.04)</f>
        <v>21.446400000000001</v>
      </c>
      <c r="W102" s="52">
        <f>IF(ISERROR(VLOOKUP($T$102,'TAR FIN'!$A$1:$O$85,15,0)),0,VLOOKUP($T$102,'TAR FIN'!$A$1:$O$85,15,0))</f>
        <v>0</v>
      </c>
      <c r="X102" s="52">
        <f>IF(ISERROR(VLOOKUP($U$102,'TAR FIN'!$A$1:$O$85,15,0)),0,VLOOKUP($U$102,'TAR FIN'!$A$1:$O$85,15,0))</f>
        <v>0</v>
      </c>
      <c r="Y102" s="52">
        <f ca="1">('TUSD BE'!$AM$10+'TUSD BF'!$AM$10+'TUSD CVA'!$AM$10)*1*(1-0.02)</f>
        <v>27.47945129896609</v>
      </c>
      <c r="Z102" s="52"/>
      <c r="AA102" s="52"/>
      <c r="AB102" s="52">
        <f>(SUBSIDIO!$J$102*SUBSIDIO!$V$102)*(0.04)/(1-0.04)</f>
        <v>1462.8232000000003</v>
      </c>
      <c r="AC102" s="52">
        <f>((SUBSIDIO!$L$102*SUBSIDIO!$W$102)+(SUBSIDIO!$N$102*SUBSIDIO!$X$102))*(0.04)/(1-0.04)</f>
        <v>0</v>
      </c>
      <c r="AD102" s="52">
        <f ca="1">(SUBSIDIO!$J$102*SUBSIDIO!$Y$102)*(0.02)/(1-0.02)</f>
        <v>918.03799543688763</v>
      </c>
      <c r="AE102" s="52">
        <f>((SUBSIDIO!$L$102*SUBSIDIO!$Z$102)+(SUBSIDIO!$N$102*SUBSIDIO!$AA$102))*(0.02)/(1-0.02)</f>
        <v>0</v>
      </c>
      <c r="AF102" s="3" t="s">
        <v>610</v>
      </c>
    </row>
    <row r="103" spans="1:32" ht="11.25" customHeight="1" x14ac:dyDescent="0.25">
      <c r="A103" s="3" t="s">
        <v>21</v>
      </c>
      <c r="B103" s="3" t="s">
        <v>35</v>
      </c>
      <c r="C103" s="3" t="s">
        <v>36</v>
      </c>
      <c r="D103" s="3" t="s">
        <v>41</v>
      </c>
      <c r="E103" s="3" t="s">
        <v>50</v>
      </c>
      <c r="F103" s="3" t="s">
        <v>25</v>
      </c>
      <c r="G103" s="3" t="s">
        <v>25</v>
      </c>
      <c r="H103" s="3" t="s">
        <v>25</v>
      </c>
      <c r="I103" s="6">
        <v>44593</v>
      </c>
      <c r="J103" s="4">
        <v>1986</v>
      </c>
      <c r="K103" s="52">
        <v>1986</v>
      </c>
      <c r="L103" s="4">
        <v>0</v>
      </c>
      <c r="M103" s="52">
        <v>0</v>
      </c>
      <c r="N103" s="4">
        <v>0</v>
      </c>
      <c r="O103" s="52">
        <v>0</v>
      </c>
      <c r="P103" s="4">
        <v>11</v>
      </c>
      <c r="Q103" s="3" t="s">
        <v>26</v>
      </c>
      <c r="R103" s="3">
        <v>0</v>
      </c>
      <c r="S103" s="3">
        <v>22</v>
      </c>
      <c r="T103" s="3">
        <v>0</v>
      </c>
      <c r="U103" s="3">
        <v>0</v>
      </c>
      <c r="V103" s="52">
        <f>IF(ISERROR(VLOOKUP($S$103,'TAR FIN'!$A$1:$O$85,15,0)),0,VLOOKUP($S$103,'TAR FIN'!$A$1:$O$85,15,0))*(1-0.04)</f>
        <v>21.446400000000001</v>
      </c>
      <c r="W103" s="52">
        <f>IF(ISERROR(VLOOKUP($T$103,'TAR FIN'!$A$1:$O$85,15,0)),0,VLOOKUP($T$103,'TAR FIN'!$A$1:$O$85,15,0))</f>
        <v>0</v>
      </c>
      <c r="X103" s="52">
        <f>IF(ISERROR(VLOOKUP($U$103,'TAR FIN'!$A$1:$O$85,15,0)),0,VLOOKUP($U$103,'TAR FIN'!$A$1:$O$85,15,0))</f>
        <v>0</v>
      </c>
      <c r="Y103" s="52">
        <f ca="1">('TUSD BE'!$AM$10+'TUSD BF'!$AM$10+'TUSD CVA'!$AM$10)*1*(1-0.02)</f>
        <v>27.47945129896609</v>
      </c>
      <c r="Z103" s="52"/>
      <c r="AA103" s="52"/>
      <c r="AB103" s="52">
        <f>(SUBSIDIO!$J$103*SUBSIDIO!$V$103)*(0.04)/(1-0.04)</f>
        <v>1774.6895999999999</v>
      </c>
      <c r="AC103" s="52">
        <f>((SUBSIDIO!$L$103*SUBSIDIO!$W$103)+(SUBSIDIO!$N$103*SUBSIDIO!$X$103))*(0.04)/(1-0.04)</f>
        <v>0</v>
      </c>
      <c r="AD103" s="52">
        <f ca="1">(SUBSIDIO!$J$103*SUBSIDIO!$Y$103)*(0.02)/(1-0.02)</f>
        <v>1113.7589853009522</v>
      </c>
      <c r="AE103" s="52">
        <f>((SUBSIDIO!$L$103*SUBSIDIO!$Z$103)+(SUBSIDIO!$N$103*SUBSIDIO!$AA$103))*(0.02)/(1-0.02)</f>
        <v>0</v>
      </c>
      <c r="AF103" s="3" t="s">
        <v>610</v>
      </c>
    </row>
    <row r="104" spans="1:32" ht="11.25" customHeight="1" x14ac:dyDescent="0.25">
      <c r="A104" s="3" t="s">
        <v>21</v>
      </c>
      <c r="B104" s="3" t="s">
        <v>35</v>
      </c>
      <c r="C104" s="3" t="s">
        <v>36</v>
      </c>
      <c r="D104" s="3" t="s">
        <v>41</v>
      </c>
      <c r="E104" s="3" t="s">
        <v>50</v>
      </c>
      <c r="F104" s="3" t="s">
        <v>25</v>
      </c>
      <c r="G104" s="3" t="s">
        <v>25</v>
      </c>
      <c r="H104" s="3" t="s">
        <v>25</v>
      </c>
      <c r="I104" s="6">
        <v>44621</v>
      </c>
      <c r="J104" s="4">
        <v>1575</v>
      </c>
      <c r="K104" s="52">
        <v>1575</v>
      </c>
      <c r="L104" s="4">
        <v>0</v>
      </c>
      <c r="M104" s="52">
        <v>0</v>
      </c>
      <c r="N104" s="4">
        <v>0</v>
      </c>
      <c r="O104" s="52">
        <v>0</v>
      </c>
      <c r="P104" s="4">
        <v>10</v>
      </c>
      <c r="Q104" s="3" t="s">
        <v>26</v>
      </c>
      <c r="R104" s="3">
        <v>0</v>
      </c>
      <c r="S104" s="3">
        <v>22</v>
      </c>
      <c r="T104" s="3">
        <v>0</v>
      </c>
      <c r="U104" s="3">
        <v>0</v>
      </c>
      <c r="V104" s="52">
        <f>IF(ISERROR(VLOOKUP($S$104,'TAR FIN'!$A$1:$O$85,15,0)),0,VLOOKUP($S$104,'TAR FIN'!$A$1:$O$85,15,0))*(1-0.04)</f>
        <v>21.446400000000001</v>
      </c>
      <c r="W104" s="52">
        <f>IF(ISERROR(VLOOKUP($T$104,'TAR FIN'!$A$1:$O$85,15,0)),0,VLOOKUP($T$104,'TAR FIN'!$A$1:$O$85,15,0))</f>
        <v>0</v>
      </c>
      <c r="X104" s="52">
        <f>IF(ISERROR(VLOOKUP($U$104,'TAR FIN'!$A$1:$O$85,15,0)),0,VLOOKUP($U$104,'TAR FIN'!$A$1:$O$85,15,0))</f>
        <v>0</v>
      </c>
      <c r="Y104" s="52">
        <f ca="1">('TUSD BE'!$AM$10+'TUSD BF'!$AM$10+'TUSD CVA'!$AM$10)*1*(1-0.02)</f>
        <v>27.47945129896609</v>
      </c>
      <c r="Z104" s="52"/>
      <c r="AA104" s="52"/>
      <c r="AB104" s="52">
        <f>(SUBSIDIO!$J$104*SUBSIDIO!$V$104)*(0.04)/(1-0.04)</f>
        <v>1407.42</v>
      </c>
      <c r="AC104" s="52">
        <f>((SUBSIDIO!$L$104*SUBSIDIO!$W$104)+(SUBSIDIO!$N$104*SUBSIDIO!$X$104))*(0.04)/(1-0.04)</f>
        <v>0</v>
      </c>
      <c r="AD104" s="52">
        <f ca="1">(SUBSIDIO!$J$104*SUBSIDIO!$Y$104)*(0.02)/(1-0.02)</f>
        <v>883.26807746676718</v>
      </c>
      <c r="AE104" s="52">
        <f>((SUBSIDIO!$L$104*SUBSIDIO!$Z$104)+(SUBSIDIO!$N$104*SUBSIDIO!$AA$104))*(0.02)/(1-0.02)</f>
        <v>0</v>
      </c>
      <c r="AF104" s="3" t="s">
        <v>610</v>
      </c>
    </row>
    <row r="105" spans="1:32" ht="11.25" customHeight="1" x14ac:dyDescent="0.25">
      <c r="A105" s="3" t="s">
        <v>21</v>
      </c>
      <c r="B105" s="3" t="s">
        <v>35</v>
      </c>
      <c r="C105" s="3" t="s">
        <v>36</v>
      </c>
      <c r="D105" s="3" t="s">
        <v>41</v>
      </c>
      <c r="E105" s="3" t="s">
        <v>50</v>
      </c>
      <c r="F105" s="3" t="s">
        <v>25</v>
      </c>
      <c r="G105" s="3" t="s">
        <v>25</v>
      </c>
      <c r="H105" s="3" t="s">
        <v>25</v>
      </c>
      <c r="I105" s="6">
        <v>44652</v>
      </c>
      <c r="J105" s="4">
        <v>2641</v>
      </c>
      <c r="K105" s="52">
        <v>2641</v>
      </c>
      <c r="L105" s="4">
        <v>0</v>
      </c>
      <c r="M105" s="52">
        <v>0</v>
      </c>
      <c r="N105" s="4">
        <v>0</v>
      </c>
      <c r="O105" s="52">
        <v>0</v>
      </c>
      <c r="P105" s="4">
        <v>10</v>
      </c>
      <c r="Q105" s="3" t="s">
        <v>26</v>
      </c>
      <c r="R105" s="3">
        <v>0</v>
      </c>
      <c r="S105" s="3">
        <v>22</v>
      </c>
      <c r="T105" s="3">
        <v>0</v>
      </c>
      <c r="U105" s="3">
        <v>0</v>
      </c>
      <c r="V105" s="52">
        <f>IF(ISERROR(VLOOKUP($S$105,'TAR FIN'!$A$1:$O$85,15,0)),0,VLOOKUP($S$105,'TAR FIN'!$A$1:$O$85,15,0))*(1-0.04)</f>
        <v>21.446400000000001</v>
      </c>
      <c r="W105" s="52">
        <f>IF(ISERROR(VLOOKUP($T$105,'TAR FIN'!$A$1:$O$85,15,0)),0,VLOOKUP($T$105,'TAR FIN'!$A$1:$O$85,15,0))</f>
        <v>0</v>
      </c>
      <c r="X105" s="52">
        <f>IF(ISERROR(VLOOKUP($U$105,'TAR FIN'!$A$1:$O$85,15,0)),0,VLOOKUP($U$105,'TAR FIN'!$A$1:$O$85,15,0))</f>
        <v>0</v>
      </c>
      <c r="Y105" s="52">
        <f ca="1">('TUSD BE'!$AM$10+'TUSD BF'!$AM$10+'TUSD CVA'!$AM$10)*1*(1-0.02)</f>
        <v>27.47945129896609</v>
      </c>
      <c r="Z105" s="52"/>
      <c r="AA105" s="52"/>
      <c r="AB105" s="52">
        <f>(SUBSIDIO!$J$105*SUBSIDIO!$V$105)*(0.04)/(1-0.04)</f>
        <v>2359.9976000000001</v>
      </c>
      <c r="AC105" s="52">
        <f>((SUBSIDIO!$L$105*SUBSIDIO!$W$105)+(SUBSIDIO!$N$105*SUBSIDIO!$X$105))*(0.04)/(1-0.04)</f>
        <v>0</v>
      </c>
      <c r="AD105" s="52">
        <f ca="1">(SUBSIDIO!$J$105*SUBSIDIO!$Y$105)*(0.02)/(1-0.02)</f>
        <v>1481.0863445014174</v>
      </c>
      <c r="AE105" s="52">
        <f>((SUBSIDIO!$L$105*SUBSIDIO!$Z$105)+(SUBSIDIO!$N$105*SUBSIDIO!$AA$105))*(0.02)/(1-0.02)</f>
        <v>0</v>
      </c>
      <c r="AF105" s="3" t="s">
        <v>610</v>
      </c>
    </row>
    <row r="106" spans="1:32" ht="11.25" customHeight="1" x14ac:dyDescent="0.25">
      <c r="A106" s="3" t="s">
        <v>21</v>
      </c>
      <c r="B106" s="3" t="s">
        <v>35</v>
      </c>
      <c r="C106" s="3" t="s">
        <v>36</v>
      </c>
      <c r="D106" s="3" t="s">
        <v>41</v>
      </c>
      <c r="E106" s="3" t="s">
        <v>50</v>
      </c>
      <c r="F106" s="3" t="s">
        <v>25</v>
      </c>
      <c r="G106" s="3" t="s">
        <v>25</v>
      </c>
      <c r="H106" s="3" t="s">
        <v>25</v>
      </c>
      <c r="I106" s="6">
        <v>44682</v>
      </c>
      <c r="J106" s="4">
        <v>3773</v>
      </c>
      <c r="K106" s="52">
        <v>3773</v>
      </c>
      <c r="L106" s="4">
        <v>0</v>
      </c>
      <c r="M106" s="52">
        <v>0</v>
      </c>
      <c r="N106" s="4">
        <v>0</v>
      </c>
      <c r="O106" s="52">
        <v>0</v>
      </c>
      <c r="P106" s="4">
        <v>11</v>
      </c>
      <c r="Q106" s="3" t="s">
        <v>26</v>
      </c>
      <c r="R106" s="3">
        <v>0</v>
      </c>
      <c r="S106" s="3">
        <v>22</v>
      </c>
      <c r="T106" s="3">
        <v>0</v>
      </c>
      <c r="U106" s="3">
        <v>0</v>
      </c>
      <c r="V106" s="52">
        <f>IF(ISERROR(VLOOKUP($S$106,'TAR FIN'!$A$1:$O$85,15,0)),0,VLOOKUP($S$106,'TAR FIN'!$A$1:$O$85,15,0))*(1-0.04)</f>
        <v>21.446400000000001</v>
      </c>
      <c r="W106" s="52">
        <f>IF(ISERROR(VLOOKUP($T$106,'TAR FIN'!$A$1:$O$85,15,0)),0,VLOOKUP($T$106,'TAR FIN'!$A$1:$O$85,15,0))</f>
        <v>0</v>
      </c>
      <c r="X106" s="52">
        <f>IF(ISERROR(VLOOKUP($U$106,'TAR FIN'!$A$1:$O$85,15,0)),0,VLOOKUP($U$106,'TAR FIN'!$A$1:$O$85,15,0))</f>
        <v>0</v>
      </c>
      <c r="Y106" s="52">
        <f ca="1">('TUSD BE'!$AM$10+'TUSD BF'!$AM$10+'TUSD CVA'!$AM$10)*1*(1-0.02)</f>
        <v>27.47945129896609</v>
      </c>
      <c r="Z106" s="52"/>
      <c r="AA106" s="52"/>
      <c r="AB106" s="52">
        <f>(SUBSIDIO!$J$106*SUBSIDIO!$V$106)*(0.04)/(1-0.04)</f>
        <v>3371.5528000000004</v>
      </c>
      <c r="AC106" s="52">
        <f>((SUBSIDIO!$L$106*SUBSIDIO!$W$106)+(SUBSIDIO!$N$106*SUBSIDIO!$X$106))*(0.04)/(1-0.04)</f>
        <v>0</v>
      </c>
      <c r="AD106" s="52">
        <f ca="1">(SUBSIDIO!$J$106*SUBSIDIO!$Y$106)*(0.02)/(1-0.02)</f>
        <v>2115.9177500203887</v>
      </c>
      <c r="AE106" s="52">
        <f>((SUBSIDIO!$L$106*SUBSIDIO!$Z$106)+(SUBSIDIO!$N$106*SUBSIDIO!$AA$106))*(0.02)/(1-0.02)</f>
        <v>0</v>
      </c>
      <c r="AF106" s="3" t="s">
        <v>610</v>
      </c>
    </row>
    <row r="107" spans="1:32" ht="11.25" customHeight="1" x14ac:dyDescent="0.25">
      <c r="A107" s="3" t="s">
        <v>21</v>
      </c>
      <c r="B107" s="3" t="s">
        <v>35</v>
      </c>
      <c r="C107" s="3" t="s">
        <v>36</v>
      </c>
      <c r="D107" s="3" t="s">
        <v>41</v>
      </c>
      <c r="E107" s="3" t="s">
        <v>50</v>
      </c>
      <c r="F107" s="3" t="s">
        <v>25</v>
      </c>
      <c r="G107" s="3" t="s">
        <v>25</v>
      </c>
      <c r="H107" s="3" t="s">
        <v>25</v>
      </c>
      <c r="I107" s="6">
        <v>44713</v>
      </c>
      <c r="J107" s="4">
        <v>3144</v>
      </c>
      <c r="K107" s="52">
        <v>3144</v>
      </c>
      <c r="L107" s="4">
        <v>0</v>
      </c>
      <c r="M107" s="52">
        <v>0</v>
      </c>
      <c r="N107" s="4">
        <v>0</v>
      </c>
      <c r="O107" s="52">
        <v>0</v>
      </c>
      <c r="P107" s="4">
        <v>11</v>
      </c>
      <c r="Q107" s="3" t="s">
        <v>26</v>
      </c>
      <c r="R107" s="3">
        <v>0</v>
      </c>
      <c r="S107" s="3">
        <v>22</v>
      </c>
      <c r="T107" s="3">
        <v>0</v>
      </c>
      <c r="U107" s="3">
        <v>0</v>
      </c>
      <c r="V107" s="52">
        <f>IF(ISERROR(VLOOKUP($S$107,'TAR FIN'!$A$1:$O$85,15,0)),0,VLOOKUP($S$107,'TAR FIN'!$A$1:$O$85,15,0))*(1-0.04)</f>
        <v>21.446400000000001</v>
      </c>
      <c r="W107" s="52">
        <f>IF(ISERROR(VLOOKUP($T$107,'TAR FIN'!$A$1:$O$85,15,0)),0,VLOOKUP($T$107,'TAR FIN'!$A$1:$O$85,15,0))</f>
        <v>0</v>
      </c>
      <c r="X107" s="52">
        <f>IF(ISERROR(VLOOKUP($U$107,'TAR FIN'!$A$1:$O$85,15,0)),0,VLOOKUP($U$107,'TAR FIN'!$A$1:$O$85,15,0))</f>
        <v>0</v>
      </c>
      <c r="Y107" s="52">
        <f ca="1">('TUSD BE'!$AM$10+'TUSD BF'!$AM$10+'TUSD CVA'!$AM$10)*1*(1-0.02)</f>
        <v>27.47945129896609</v>
      </c>
      <c r="Z107" s="52"/>
      <c r="AA107" s="52"/>
      <c r="AB107" s="52">
        <f>(SUBSIDIO!$J$107*SUBSIDIO!$V$107)*(0.04)/(1-0.04)</f>
        <v>2809.4784</v>
      </c>
      <c r="AC107" s="52">
        <f>((SUBSIDIO!$L$107*SUBSIDIO!$W$107)+(SUBSIDIO!$N$107*SUBSIDIO!$X$107))*(0.04)/(1-0.04)</f>
        <v>0</v>
      </c>
      <c r="AD107" s="52">
        <f ca="1">(SUBSIDIO!$J$107*SUBSIDIO!$Y$107)*(0.02)/(1-0.02)</f>
        <v>1763.1713241622324</v>
      </c>
      <c r="AE107" s="52">
        <f>((SUBSIDIO!$L$107*SUBSIDIO!$Z$107)+(SUBSIDIO!$N$107*SUBSIDIO!$AA$107))*(0.02)/(1-0.02)</f>
        <v>0</v>
      </c>
      <c r="AF107" s="3" t="s">
        <v>610</v>
      </c>
    </row>
    <row r="108" spans="1:32" ht="11.25" customHeight="1" x14ac:dyDescent="0.25">
      <c r="A108" s="3" t="s">
        <v>21</v>
      </c>
      <c r="B108" s="3" t="s">
        <v>35</v>
      </c>
      <c r="C108" s="3" t="s">
        <v>36</v>
      </c>
      <c r="D108" s="3" t="s">
        <v>41</v>
      </c>
      <c r="E108" s="3" t="s">
        <v>50</v>
      </c>
      <c r="F108" s="3" t="s">
        <v>25</v>
      </c>
      <c r="G108" s="3" t="s">
        <v>25</v>
      </c>
      <c r="H108" s="3" t="s">
        <v>25</v>
      </c>
      <c r="I108" s="6">
        <v>44743</v>
      </c>
      <c r="J108" s="4">
        <v>3147</v>
      </c>
      <c r="K108" s="52">
        <v>3147</v>
      </c>
      <c r="L108" s="4">
        <v>0</v>
      </c>
      <c r="M108" s="52">
        <v>0</v>
      </c>
      <c r="N108" s="4">
        <v>0</v>
      </c>
      <c r="O108" s="52">
        <v>0</v>
      </c>
      <c r="P108" s="4">
        <v>11</v>
      </c>
      <c r="Q108" s="3" t="s">
        <v>26</v>
      </c>
      <c r="R108" s="3">
        <v>0</v>
      </c>
      <c r="S108" s="3">
        <v>22</v>
      </c>
      <c r="T108" s="3">
        <v>0</v>
      </c>
      <c r="U108" s="3">
        <v>0</v>
      </c>
      <c r="V108" s="52">
        <f>IF(ISERROR(VLOOKUP($S$108,'TAR FIN'!$A$1:$O$85,15,0)),0,VLOOKUP($S$108,'TAR FIN'!$A$1:$O$85,15,0))*(1-0.04)</f>
        <v>21.446400000000001</v>
      </c>
      <c r="W108" s="52">
        <f>IF(ISERROR(VLOOKUP($T$108,'TAR FIN'!$A$1:$O$85,15,0)),0,VLOOKUP($T$108,'TAR FIN'!$A$1:$O$85,15,0))</f>
        <v>0</v>
      </c>
      <c r="X108" s="52">
        <f>IF(ISERROR(VLOOKUP($U$108,'TAR FIN'!$A$1:$O$85,15,0)),0,VLOOKUP($U$108,'TAR FIN'!$A$1:$O$85,15,0))</f>
        <v>0</v>
      </c>
      <c r="Y108" s="52">
        <f ca="1">('TUSD BE'!$AM$10+'TUSD BF'!$AM$10+'TUSD CVA'!$AM$10)*1*(1-0.02)</f>
        <v>27.47945129896609</v>
      </c>
      <c r="Z108" s="52"/>
      <c r="AA108" s="52"/>
      <c r="AB108" s="52">
        <f>(SUBSIDIO!$J$108*SUBSIDIO!$V$108)*(0.04)/(1-0.04)</f>
        <v>2812.1592000000005</v>
      </c>
      <c r="AC108" s="52">
        <f>((SUBSIDIO!$L$108*SUBSIDIO!$W$108)+(SUBSIDIO!$N$108*SUBSIDIO!$X$108))*(0.04)/(1-0.04)</f>
        <v>0</v>
      </c>
      <c r="AD108" s="52">
        <f ca="1">(SUBSIDIO!$J$108*SUBSIDIO!$Y$108)*(0.02)/(1-0.02)</f>
        <v>1764.8537395478832</v>
      </c>
      <c r="AE108" s="52">
        <f>((SUBSIDIO!$L$108*SUBSIDIO!$Z$108)+(SUBSIDIO!$N$108*SUBSIDIO!$AA$108))*(0.02)/(1-0.02)</f>
        <v>0</v>
      </c>
      <c r="AF108" s="3" t="s">
        <v>610</v>
      </c>
    </row>
    <row r="109" spans="1:32" ht="11.25" customHeight="1" x14ac:dyDescent="0.25">
      <c r="A109" s="3" t="s">
        <v>21</v>
      </c>
      <c r="B109" s="3" t="s">
        <v>35</v>
      </c>
      <c r="C109" s="3" t="s">
        <v>36</v>
      </c>
      <c r="D109" s="3" t="s">
        <v>41</v>
      </c>
      <c r="E109" s="3" t="s">
        <v>50</v>
      </c>
      <c r="F109" s="3" t="s">
        <v>25</v>
      </c>
      <c r="G109" s="3" t="s">
        <v>25</v>
      </c>
      <c r="H109" s="3" t="s">
        <v>25</v>
      </c>
      <c r="I109" s="6">
        <v>44774</v>
      </c>
      <c r="J109" s="4">
        <v>3975</v>
      </c>
      <c r="K109" s="52">
        <v>3975</v>
      </c>
      <c r="L109" s="4">
        <v>0</v>
      </c>
      <c r="M109" s="52">
        <v>0</v>
      </c>
      <c r="N109" s="4">
        <v>0</v>
      </c>
      <c r="O109" s="52">
        <v>0</v>
      </c>
      <c r="P109" s="4">
        <v>11</v>
      </c>
      <c r="Q109" s="3" t="s">
        <v>26</v>
      </c>
      <c r="R109" s="3">
        <v>0</v>
      </c>
      <c r="S109" s="3">
        <v>22</v>
      </c>
      <c r="T109" s="3">
        <v>0</v>
      </c>
      <c r="U109" s="3">
        <v>0</v>
      </c>
      <c r="V109" s="52">
        <f>IF(ISERROR(VLOOKUP($S$109,'TAR FIN'!$A$1:$O$85,15,0)),0,VLOOKUP($S$109,'TAR FIN'!$A$1:$O$85,15,0))*(1-0.04)</f>
        <v>21.446400000000001</v>
      </c>
      <c r="W109" s="52">
        <f>IF(ISERROR(VLOOKUP($T$109,'TAR FIN'!$A$1:$O$85,15,0)),0,VLOOKUP($T$109,'TAR FIN'!$A$1:$O$85,15,0))</f>
        <v>0</v>
      </c>
      <c r="X109" s="52">
        <f>IF(ISERROR(VLOOKUP($U$109,'TAR FIN'!$A$1:$O$85,15,0)),0,VLOOKUP($U$109,'TAR FIN'!$A$1:$O$85,15,0))</f>
        <v>0</v>
      </c>
      <c r="Y109" s="52">
        <f ca="1">('TUSD BE'!$AM$10+'TUSD BF'!$AM$10+'TUSD CVA'!$AM$10)*1*(1-0.02)</f>
        <v>27.47945129896609</v>
      </c>
      <c r="Z109" s="52"/>
      <c r="AA109" s="52"/>
      <c r="AB109" s="52">
        <f>(SUBSIDIO!$J$109*SUBSIDIO!$V$109)*(0.04)/(1-0.04)</f>
        <v>3552.0600000000004</v>
      </c>
      <c r="AC109" s="52">
        <f>((SUBSIDIO!$L$109*SUBSIDIO!$W$109)+(SUBSIDIO!$N$109*SUBSIDIO!$X$109))*(0.04)/(1-0.04)</f>
        <v>0</v>
      </c>
      <c r="AD109" s="52">
        <f ca="1">(SUBSIDIO!$J$109*SUBSIDIO!$Y$109)*(0.02)/(1-0.02)</f>
        <v>2229.2003859875554</v>
      </c>
      <c r="AE109" s="52">
        <f>((SUBSIDIO!$L$109*SUBSIDIO!$Z$109)+(SUBSIDIO!$N$109*SUBSIDIO!$AA$109))*(0.02)/(1-0.02)</f>
        <v>0</v>
      </c>
      <c r="AF109" s="3" t="s">
        <v>610</v>
      </c>
    </row>
    <row r="110" spans="1:32" ht="11.25" customHeight="1" x14ac:dyDescent="0.25">
      <c r="A110" s="3" t="s">
        <v>21</v>
      </c>
      <c r="B110" s="3" t="s">
        <v>35</v>
      </c>
      <c r="C110" s="3" t="s">
        <v>36</v>
      </c>
      <c r="D110" s="3" t="s">
        <v>41</v>
      </c>
      <c r="E110" s="3" t="s">
        <v>50</v>
      </c>
      <c r="F110" s="3" t="s">
        <v>25</v>
      </c>
      <c r="G110" s="3" t="s">
        <v>25</v>
      </c>
      <c r="H110" s="3" t="s">
        <v>37</v>
      </c>
      <c r="I110" s="6">
        <v>44440</v>
      </c>
      <c r="J110" s="4">
        <v>0</v>
      </c>
      <c r="K110" s="52">
        <v>0</v>
      </c>
      <c r="L110" s="4">
        <v>11.597</v>
      </c>
      <c r="M110" s="52">
        <v>11.597</v>
      </c>
      <c r="N110" s="4">
        <v>11.597</v>
      </c>
      <c r="O110" s="52">
        <v>11.597</v>
      </c>
      <c r="P110" s="4">
        <v>0</v>
      </c>
      <c r="Q110" s="3" t="s">
        <v>26</v>
      </c>
      <c r="R110" s="3">
        <v>0</v>
      </c>
      <c r="S110" s="3">
        <v>0</v>
      </c>
      <c r="T110" s="3">
        <v>33</v>
      </c>
      <c r="U110" s="3">
        <v>51</v>
      </c>
      <c r="V110" s="52">
        <f>IF(ISERROR(VLOOKUP($S$110,'TAR FIN'!$A$1:$O$85,15,0)),0,VLOOKUP($S$110,'TAR FIN'!$A$1:$O$85,15,0))</f>
        <v>0</v>
      </c>
      <c r="W110" s="52">
        <f>IF(ISERROR(VLOOKUP($T$110,'TAR FIN'!$A$1:$O$85,15,0)),0,VLOOKUP($T$110,'TAR FIN'!$A$1:$O$85,15,0))*(1-0.04)</f>
        <v>1859.4623999999999</v>
      </c>
      <c r="X110" s="52">
        <f>IF(ISERROR(VLOOKUP($U$110,'TAR FIN'!$A$1:$O$85,15,0)),0,VLOOKUP($U$110,'TAR FIN'!$A$1:$O$85,15,0))*(1-0.04)</f>
        <v>257.1936</v>
      </c>
      <c r="Y110" s="52"/>
      <c r="Z110" s="52">
        <f ca="1">('TUSD BE'!$AM$11+'TUSD BF'!$AM$11+'TUSD CVA'!$AM$11)*1*(1-0.02)</f>
        <v>2163.0303623265568</v>
      </c>
      <c r="AA110" s="52">
        <f>('TE BE'!$AB$5+'TE BF'!$AB$5+'TE CVA'!$AB$5)*1*(1-0.02)</f>
        <v>181.71240751544846</v>
      </c>
      <c r="AB110" s="52">
        <f>(SUBSIDIO!$J$110*SUBSIDIO!$V$110)*(0.04)/(1-0.04)</f>
        <v>0</v>
      </c>
      <c r="AC110" s="52">
        <f>((SUBSIDIO!$L$110*SUBSIDIO!$W$110)+(SUBSIDIO!$N$110*SUBSIDIO!$X$110))*(0.04)/(1-0.04)</f>
        <v>1022.7858179999998</v>
      </c>
      <c r="AD110" s="52">
        <f>(SUBSIDIO!$J$110*SUBSIDIO!$Y$110)*(0.02)/(1-0.02)</f>
        <v>0</v>
      </c>
      <c r="AE110" s="52">
        <f ca="1">((SUBSIDIO!$L$110*SUBSIDIO!$Z$110)+(SUBSIDIO!$N$110*SUBSIDIO!$AA$110))*(0.02)/(1-0.02)</f>
        <v>554.93840616036198</v>
      </c>
      <c r="AF110" s="3" t="s">
        <v>610</v>
      </c>
    </row>
    <row r="111" spans="1:32" ht="11.25" customHeight="1" x14ac:dyDescent="0.25">
      <c r="A111" s="3" t="s">
        <v>21</v>
      </c>
      <c r="B111" s="3" t="s">
        <v>35</v>
      </c>
      <c r="C111" s="3" t="s">
        <v>36</v>
      </c>
      <c r="D111" s="3" t="s">
        <v>41</v>
      </c>
      <c r="E111" s="3" t="s">
        <v>50</v>
      </c>
      <c r="F111" s="3" t="s">
        <v>25</v>
      </c>
      <c r="G111" s="3" t="s">
        <v>25</v>
      </c>
      <c r="H111" s="3" t="s">
        <v>37</v>
      </c>
      <c r="I111" s="6">
        <v>44470</v>
      </c>
      <c r="J111" s="4">
        <v>0</v>
      </c>
      <c r="K111" s="52">
        <v>0</v>
      </c>
      <c r="L111" s="4">
        <v>15.912000000000001</v>
      </c>
      <c r="M111" s="52">
        <v>15.912000000000001</v>
      </c>
      <c r="N111" s="4">
        <v>15.912000000000001</v>
      </c>
      <c r="O111" s="52">
        <v>15.912000000000001</v>
      </c>
      <c r="P111" s="4">
        <v>0</v>
      </c>
      <c r="Q111" s="3" t="s">
        <v>26</v>
      </c>
      <c r="R111" s="3">
        <v>0</v>
      </c>
      <c r="S111" s="3">
        <v>0</v>
      </c>
      <c r="T111" s="3">
        <v>33</v>
      </c>
      <c r="U111" s="3">
        <v>51</v>
      </c>
      <c r="V111" s="52">
        <f>IF(ISERROR(VLOOKUP($S$111,'TAR FIN'!$A$1:$O$85,15,0)),0,VLOOKUP($S$111,'TAR FIN'!$A$1:$O$85,15,0))</f>
        <v>0</v>
      </c>
      <c r="W111" s="52">
        <f>IF(ISERROR(VLOOKUP($T$111,'TAR FIN'!$A$1:$O$85,15,0)),0,VLOOKUP($T$111,'TAR FIN'!$A$1:$O$85,15,0))*(1-0.04)</f>
        <v>1859.4623999999999</v>
      </c>
      <c r="X111" s="52">
        <f>IF(ISERROR(VLOOKUP($U$111,'TAR FIN'!$A$1:$O$85,15,0)),0,VLOOKUP($U$111,'TAR FIN'!$A$1:$O$85,15,0))*(1-0.04)</f>
        <v>257.1936</v>
      </c>
      <c r="Y111" s="52"/>
      <c r="Z111" s="52">
        <f ca="1">('TUSD BE'!$AM$11+'TUSD BF'!$AM$11+'TUSD CVA'!$AM$11)*1*(1-0.02)</f>
        <v>2163.0303623265568</v>
      </c>
      <c r="AA111" s="52">
        <f>('TE BE'!$AB$5+'TE BF'!$AB$5+'TE CVA'!$AB$5)*1*(1-0.02)</f>
        <v>181.71240751544846</v>
      </c>
      <c r="AB111" s="52">
        <f>(SUBSIDIO!$J$111*SUBSIDIO!$V$111)*(0.04)/(1-0.04)</f>
        <v>0</v>
      </c>
      <c r="AC111" s="52">
        <f>((SUBSIDIO!$L$111*SUBSIDIO!$W$111)+(SUBSIDIO!$N$111*SUBSIDIO!$X$111))*(0.04)/(1-0.04)</f>
        <v>1403.342928</v>
      </c>
      <c r="AD111" s="52">
        <f>(SUBSIDIO!$J$111*SUBSIDIO!$Y$111)*(0.02)/(1-0.02)</f>
        <v>0</v>
      </c>
      <c r="AE111" s="52">
        <f ca="1">((SUBSIDIO!$L$111*SUBSIDIO!$Z$111)+(SUBSIDIO!$N$111*SUBSIDIO!$AA$111))*(0.02)/(1-0.02)</f>
        <v>761.41932558624478</v>
      </c>
      <c r="AF111" s="3" t="s">
        <v>610</v>
      </c>
    </row>
    <row r="112" spans="1:32" ht="11.25" customHeight="1" x14ac:dyDescent="0.25">
      <c r="A112" s="3" t="s">
        <v>21</v>
      </c>
      <c r="B112" s="3" t="s">
        <v>35</v>
      </c>
      <c r="C112" s="3" t="s">
        <v>36</v>
      </c>
      <c r="D112" s="3" t="s">
        <v>41</v>
      </c>
      <c r="E112" s="3" t="s">
        <v>50</v>
      </c>
      <c r="F112" s="3" t="s">
        <v>25</v>
      </c>
      <c r="G112" s="3" t="s">
        <v>25</v>
      </c>
      <c r="H112" s="3" t="s">
        <v>37</v>
      </c>
      <c r="I112" s="6">
        <v>44501</v>
      </c>
      <c r="J112" s="4">
        <v>0</v>
      </c>
      <c r="K112" s="52">
        <v>0</v>
      </c>
      <c r="L112" s="4">
        <v>8.5220000000000002</v>
      </c>
      <c r="M112" s="52">
        <v>8.5220000000000002</v>
      </c>
      <c r="N112" s="4">
        <v>8.5220000000000002</v>
      </c>
      <c r="O112" s="52">
        <v>8.5220000000000002</v>
      </c>
      <c r="P112" s="4">
        <v>0</v>
      </c>
      <c r="Q112" s="3" t="s">
        <v>26</v>
      </c>
      <c r="R112" s="3">
        <v>0</v>
      </c>
      <c r="S112" s="3">
        <v>0</v>
      </c>
      <c r="T112" s="3">
        <v>33</v>
      </c>
      <c r="U112" s="3">
        <v>51</v>
      </c>
      <c r="V112" s="52">
        <f>IF(ISERROR(VLOOKUP($S$112,'TAR FIN'!$A$1:$O$85,15,0)),0,VLOOKUP($S$112,'TAR FIN'!$A$1:$O$85,15,0))</f>
        <v>0</v>
      </c>
      <c r="W112" s="52">
        <f>IF(ISERROR(VLOOKUP($T$112,'TAR FIN'!$A$1:$O$85,15,0)),0,VLOOKUP($T$112,'TAR FIN'!$A$1:$O$85,15,0))*(1-0.04)</f>
        <v>1859.4623999999999</v>
      </c>
      <c r="X112" s="52">
        <f>IF(ISERROR(VLOOKUP($U$112,'TAR FIN'!$A$1:$O$85,15,0)),0,VLOOKUP($U$112,'TAR FIN'!$A$1:$O$85,15,0))*(1-0.04)</f>
        <v>257.1936</v>
      </c>
      <c r="Y112" s="52"/>
      <c r="Z112" s="52">
        <f ca="1">('TUSD BE'!$AM$11+'TUSD BF'!$AM$11+'TUSD CVA'!$AM$11)*1*(1-0.02)</f>
        <v>2163.0303623265568</v>
      </c>
      <c r="AA112" s="52">
        <f>('TE BE'!$AB$5+'TE BF'!$AB$5+'TE CVA'!$AB$5)*1*(1-0.02)</f>
        <v>181.71240751544846</v>
      </c>
      <c r="AB112" s="52">
        <f>(SUBSIDIO!$J$112*SUBSIDIO!$V$112)*(0.04)/(1-0.04)</f>
        <v>0</v>
      </c>
      <c r="AC112" s="52">
        <f>((SUBSIDIO!$L$112*SUBSIDIO!$W$112)+(SUBSIDIO!$N$112*SUBSIDIO!$X$112))*(0.04)/(1-0.04)</f>
        <v>751.58926800000006</v>
      </c>
      <c r="AD112" s="52">
        <f>(SUBSIDIO!$J$112*SUBSIDIO!$Y$112)*(0.02)/(1-0.02)</f>
        <v>0</v>
      </c>
      <c r="AE112" s="52">
        <f ca="1">((SUBSIDIO!$L$112*SUBSIDIO!$Z$112)+(SUBSIDIO!$N$112*SUBSIDIO!$AA$112))*(0.02)/(1-0.02)</f>
        <v>407.79383437946058</v>
      </c>
      <c r="AF112" s="3" t="s">
        <v>610</v>
      </c>
    </row>
    <row r="113" spans="1:32" ht="11.25" customHeight="1" x14ac:dyDescent="0.25">
      <c r="A113" s="3" t="s">
        <v>21</v>
      </c>
      <c r="B113" s="3" t="s">
        <v>35</v>
      </c>
      <c r="C113" s="3" t="s">
        <v>36</v>
      </c>
      <c r="D113" s="3" t="s">
        <v>41</v>
      </c>
      <c r="E113" s="3" t="s">
        <v>50</v>
      </c>
      <c r="F113" s="3" t="s">
        <v>25</v>
      </c>
      <c r="G113" s="3" t="s">
        <v>25</v>
      </c>
      <c r="H113" s="3" t="s">
        <v>37</v>
      </c>
      <c r="I113" s="6">
        <v>44531</v>
      </c>
      <c r="J113" s="4">
        <v>0</v>
      </c>
      <c r="K113" s="52">
        <v>0</v>
      </c>
      <c r="L113" s="4">
        <v>3.88</v>
      </c>
      <c r="M113" s="52">
        <v>3.88</v>
      </c>
      <c r="N113" s="4">
        <v>3.88</v>
      </c>
      <c r="O113" s="52">
        <v>3.88</v>
      </c>
      <c r="P113" s="4">
        <v>0</v>
      </c>
      <c r="Q113" s="3" t="s">
        <v>26</v>
      </c>
      <c r="R113" s="3">
        <v>0</v>
      </c>
      <c r="S113" s="3">
        <v>0</v>
      </c>
      <c r="T113" s="3">
        <v>33</v>
      </c>
      <c r="U113" s="3">
        <v>51</v>
      </c>
      <c r="V113" s="52">
        <f>IF(ISERROR(VLOOKUP($S$113,'TAR FIN'!$A$1:$O$85,15,0)),0,VLOOKUP($S$113,'TAR FIN'!$A$1:$O$85,15,0))</f>
        <v>0</v>
      </c>
      <c r="W113" s="52">
        <f>IF(ISERROR(VLOOKUP($T$113,'TAR FIN'!$A$1:$O$85,15,0)),0,VLOOKUP($T$113,'TAR FIN'!$A$1:$O$85,15,0))*(1-0.04)</f>
        <v>1859.4623999999999</v>
      </c>
      <c r="X113" s="52">
        <f>IF(ISERROR(VLOOKUP($U$113,'TAR FIN'!$A$1:$O$85,15,0)),0,VLOOKUP($U$113,'TAR FIN'!$A$1:$O$85,15,0))*(1-0.04)</f>
        <v>257.1936</v>
      </c>
      <c r="Y113" s="52"/>
      <c r="Z113" s="52">
        <f ca="1">('TUSD BE'!$AM$11+'TUSD BF'!$AM$11+'TUSD CVA'!$AM$11)*1*(1-0.02)</f>
        <v>2163.0303623265568</v>
      </c>
      <c r="AA113" s="52">
        <f>('TE BE'!$AB$5+'TE BF'!$AB$5+'TE CVA'!$AB$5)*1*(1-0.02)</f>
        <v>181.71240751544846</v>
      </c>
      <c r="AB113" s="52">
        <f>(SUBSIDIO!$J$113*SUBSIDIO!$V$113)*(0.04)/(1-0.04)</f>
        <v>0</v>
      </c>
      <c r="AC113" s="52">
        <f>((SUBSIDIO!$L$113*SUBSIDIO!$W$113)+(SUBSIDIO!$N$113*SUBSIDIO!$X$113))*(0.04)/(1-0.04)</f>
        <v>342.19272000000001</v>
      </c>
      <c r="AD113" s="52">
        <f>(SUBSIDIO!$J$113*SUBSIDIO!$Y$113)*(0.02)/(1-0.02)</f>
        <v>0</v>
      </c>
      <c r="AE113" s="52">
        <f ca="1">((SUBSIDIO!$L$113*SUBSIDIO!$Z$113)+(SUBSIDIO!$N$113*SUBSIDIO!$AA$113))*(0.02)/(1-0.02)</f>
        <v>185.66534585687717</v>
      </c>
      <c r="AF113" s="3" t="s">
        <v>610</v>
      </c>
    </row>
    <row r="114" spans="1:32" ht="11.25" customHeight="1" x14ac:dyDescent="0.25">
      <c r="A114" s="3" t="s">
        <v>21</v>
      </c>
      <c r="B114" s="3" t="s">
        <v>35</v>
      </c>
      <c r="C114" s="3" t="s">
        <v>36</v>
      </c>
      <c r="D114" s="3" t="s">
        <v>41</v>
      </c>
      <c r="E114" s="3" t="s">
        <v>50</v>
      </c>
      <c r="F114" s="3" t="s">
        <v>25</v>
      </c>
      <c r="G114" s="3" t="s">
        <v>25</v>
      </c>
      <c r="H114" s="3" t="s">
        <v>37</v>
      </c>
      <c r="I114" s="6">
        <v>44562</v>
      </c>
      <c r="J114" s="4">
        <v>0</v>
      </c>
      <c r="K114" s="52">
        <v>0</v>
      </c>
      <c r="L114" s="4">
        <v>4.8959999999999999</v>
      </c>
      <c r="M114" s="52">
        <v>4.8959999999999999</v>
      </c>
      <c r="N114" s="4">
        <v>4.8959999999999999</v>
      </c>
      <c r="O114" s="52">
        <v>4.8959999999999999</v>
      </c>
      <c r="P114" s="4">
        <v>0</v>
      </c>
      <c r="Q114" s="3" t="s">
        <v>26</v>
      </c>
      <c r="R114" s="3">
        <v>0</v>
      </c>
      <c r="S114" s="3">
        <v>0</v>
      </c>
      <c r="T114" s="3">
        <v>33</v>
      </c>
      <c r="U114" s="3">
        <v>51</v>
      </c>
      <c r="V114" s="52">
        <f>IF(ISERROR(VLOOKUP($S$114,'TAR FIN'!$A$1:$O$85,15,0)),0,VLOOKUP($S$114,'TAR FIN'!$A$1:$O$85,15,0))</f>
        <v>0</v>
      </c>
      <c r="W114" s="52">
        <f>IF(ISERROR(VLOOKUP($T$114,'TAR FIN'!$A$1:$O$85,15,0)),0,VLOOKUP($T$114,'TAR FIN'!$A$1:$O$85,15,0))*(1-0.04)</f>
        <v>1859.4623999999999</v>
      </c>
      <c r="X114" s="52">
        <f>IF(ISERROR(VLOOKUP($U$114,'TAR FIN'!$A$1:$O$85,15,0)),0,VLOOKUP($U$114,'TAR FIN'!$A$1:$O$85,15,0))*(1-0.04)</f>
        <v>257.1936</v>
      </c>
      <c r="Y114" s="52"/>
      <c r="Z114" s="52">
        <f ca="1">('TUSD BE'!$AM$11+'TUSD BF'!$AM$11+'TUSD CVA'!$AM$11)*1*(1-0.02)</f>
        <v>2163.0303623265568</v>
      </c>
      <c r="AA114" s="52">
        <f>('TE BE'!$AB$5+'TE BF'!$AB$5+'TE CVA'!$AB$5)*1*(1-0.02)</f>
        <v>181.71240751544846</v>
      </c>
      <c r="AB114" s="52">
        <f>(SUBSIDIO!$J$114*SUBSIDIO!$V$114)*(0.04)/(1-0.04)</f>
        <v>0</v>
      </c>
      <c r="AC114" s="52">
        <f>((SUBSIDIO!$L$114*SUBSIDIO!$W$114)+(SUBSIDIO!$N$114*SUBSIDIO!$X$114))*(0.04)/(1-0.04)</f>
        <v>431.79782399999999</v>
      </c>
      <c r="AD114" s="52">
        <f>(SUBSIDIO!$J$114*SUBSIDIO!$Y$114)*(0.02)/(1-0.02)</f>
        <v>0</v>
      </c>
      <c r="AE114" s="52">
        <f ca="1">((SUBSIDIO!$L$114*SUBSIDIO!$Z$114)+(SUBSIDIO!$N$114*SUBSIDIO!$AA$114))*(0.02)/(1-0.02)</f>
        <v>234.28286941115218</v>
      </c>
      <c r="AF114" s="3" t="s">
        <v>610</v>
      </c>
    </row>
    <row r="115" spans="1:32" ht="11.25" customHeight="1" x14ac:dyDescent="0.25">
      <c r="A115" s="3" t="s">
        <v>21</v>
      </c>
      <c r="B115" s="3" t="s">
        <v>35</v>
      </c>
      <c r="C115" s="3" t="s">
        <v>36</v>
      </c>
      <c r="D115" s="3" t="s">
        <v>41</v>
      </c>
      <c r="E115" s="3" t="s">
        <v>50</v>
      </c>
      <c r="F115" s="3" t="s">
        <v>25</v>
      </c>
      <c r="G115" s="3" t="s">
        <v>25</v>
      </c>
      <c r="H115" s="3" t="s">
        <v>37</v>
      </c>
      <c r="I115" s="6">
        <v>44593</v>
      </c>
      <c r="J115" s="4">
        <v>0</v>
      </c>
      <c r="K115" s="52">
        <v>0</v>
      </c>
      <c r="L115" s="4">
        <v>5.0060000000000002</v>
      </c>
      <c r="M115" s="52">
        <v>5.0060000000000002</v>
      </c>
      <c r="N115" s="4">
        <v>5.0060000000000002</v>
      </c>
      <c r="O115" s="52">
        <v>5.0060000000000002</v>
      </c>
      <c r="P115" s="4">
        <v>0</v>
      </c>
      <c r="Q115" s="3" t="s">
        <v>26</v>
      </c>
      <c r="R115" s="3">
        <v>0</v>
      </c>
      <c r="S115" s="3">
        <v>0</v>
      </c>
      <c r="T115" s="3">
        <v>33</v>
      </c>
      <c r="U115" s="3">
        <v>51</v>
      </c>
      <c r="V115" s="52">
        <f>IF(ISERROR(VLOOKUP($S$115,'TAR FIN'!$A$1:$O$85,15,0)),0,VLOOKUP($S$115,'TAR FIN'!$A$1:$O$85,15,0))</f>
        <v>0</v>
      </c>
      <c r="W115" s="52">
        <f>IF(ISERROR(VLOOKUP($T$115,'TAR FIN'!$A$1:$O$85,15,0)),0,VLOOKUP($T$115,'TAR FIN'!$A$1:$O$85,15,0))*(1-0.04)</f>
        <v>1859.4623999999999</v>
      </c>
      <c r="X115" s="52">
        <f>IF(ISERROR(VLOOKUP($U$115,'TAR FIN'!$A$1:$O$85,15,0)),0,VLOOKUP($U$115,'TAR FIN'!$A$1:$O$85,15,0))*(1-0.04)</f>
        <v>257.1936</v>
      </c>
      <c r="Y115" s="52"/>
      <c r="Z115" s="52">
        <f ca="1">('TUSD BE'!$AM$11+'TUSD BF'!$AM$11+'TUSD CVA'!$AM$11)*1*(1-0.02)</f>
        <v>2163.0303623265568</v>
      </c>
      <c r="AA115" s="52">
        <f>('TE BE'!$AB$5+'TE BF'!$AB$5+'TE CVA'!$AB$5)*1*(1-0.02)</f>
        <v>181.71240751544846</v>
      </c>
      <c r="AB115" s="52">
        <f>(SUBSIDIO!$J$115*SUBSIDIO!$V$115)*(0.04)/(1-0.04)</f>
        <v>0</v>
      </c>
      <c r="AC115" s="52">
        <f>((SUBSIDIO!$L$115*SUBSIDIO!$W$115)+(SUBSIDIO!$N$115*SUBSIDIO!$X$115))*(0.04)/(1-0.04)</f>
        <v>441.49916400000006</v>
      </c>
      <c r="AD115" s="52">
        <f>(SUBSIDIO!$J$115*SUBSIDIO!$Y$115)*(0.02)/(1-0.02)</f>
        <v>0</v>
      </c>
      <c r="AE115" s="52">
        <f ca="1">((SUBSIDIO!$L$115*SUBSIDIO!$Z$115)+(SUBSIDIO!$N$115*SUBSIDIO!$AA$115))*(0.02)/(1-0.02)</f>
        <v>239.54657766998122</v>
      </c>
      <c r="AF115" s="3" t="s">
        <v>610</v>
      </c>
    </row>
    <row r="116" spans="1:32" ht="11.25" customHeight="1" x14ac:dyDescent="0.25">
      <c r="A116" s="3" t="s">
        <v>21</v>
      </c>
      <c r="B116" s="3" t="s">
        <v>35</v>
      </c>
      <c r="C116" s="3" t="s">
        <v>36</v>
      </c>
      <c r="D116" s="3" t="s">
        <v>41</v>
      </c>
      <c r="E116" s="3" t="s">
        <v>50</v>
      </c>
      <c r="F116" s="3" t="s">
        <v>25</v>
      </c>
      <c r="G116" s="3" t="s">
        <v>25</v>
      </c>
      <c r="H116" s="3" t="s">
        <v>37</v>
      </c>
      <c r="I116" s="6">
        <v>44621</v>
      </c>
      <c r="J116" s="4">
        <v>0</v>
      </c>
      <c r="K116" s="52">
        <v>0</v>
      </c>
      <c r="L116" s="4">
        <v>3.8980000000000001</v>
      </c>
      <c r="M116" s="52">
        <v>3.8980000000000001</v>
      </c>
      <c r="N116" s="4">
        <v>3.8980000000000001</v>
      </c>
      <c r="O116" s="52">
        <v>3.8980000000000001</v>
      </c>
      <c r="P116" s="4">
        <v>0</v>
      </c>
      <c r="Q116" s="3" t="s">
        <v>26</v>
      </c>
      <c r="R116" s="3">
        <v>0</v>
      </c>
      <c r="S116" s="3">
        <v>0</v>
      </c>
      <c r="T116" s="3">
        <v>33</v>
      </c>
      <c r="U116" s="3">
        <v>51</v>
      </c>
      <c r="V116" s="52">
        <f>IF(ISERROR(VLOOKUP($S$116,'TAR FIN'!$A$1:$O$85,15,0)),0,VLOOKUP($S$116,'TAR FIN'!$A$1:$O$85,15,0))</f>
        <v>0</v>
      </c>
      <c r="W116" s="52">
        <f>IF(ISERROR(VLOOKUP($T$116,'TAR FIN'!$A$1:$O$85,15,0)),0,VLOOKUP($T$116,'TAR FIN'!$A$1:$O$85,15,0))*(1-0.04)</f>
        <v>1859.4623999999999</v>
      </c>
      <c r="X116" s="52">
        <f>IF(ISERROR(VLOOKUP($U$116,'TAR FIN'!$A$1:$O$85,15,0)),0,VLOOKUP($U$116,'TAR FIN'!$A$1:$O$85,15,0))*(1-0.04)</f>
        <v>257.1936</v>
      </c>
      <c r="Y116" s="52"/>
      <c r="Z116" s="52">
        <f ca="1">('TUSD BE'!$AM$11+'TUSD BF'!$AM$11+'TUSD CVA'!$AM$11)*1*(1-0.02)</f>
        <v>2163.0303623265568</v>
      </c>
      <c r="AA116" s="52">
        <f>('TE BE'!$AB$5+'TE BF'!$AB$5+'TE CVA'!$AB$5)*1*(1-0.02)</f>
        <v>181.71240751544846</v>
      </c>
      <c r="AB116" s="52">
        <f>(SUBSIDIO!$J$116*SUBSIDIO!$V$116)*(0.04)/(1-0.04)</f>
        <v>0</v>
      </c>
      <c r="AC116" s="52">
        <f>((SUBSIDIO!$L$116*SUBSIDIO!$W$116)+(SUBSIDIO!$N$116*SUBSIDIO!$X$116))*(0.04)/(1-0.04)</f>
        <v>343.78021200000001</v>
      </c>
      <c r="AD116" s="52">
        <f>(SUBSIDIO!$J$116*SUBSIDIO!$Y$116)*(0.02)/(1-0.02)</f>
        <v>0</v>
      </c>
      <c r="AE116" s="52">
        <f ca="1">((SUBSIDIO!$L$116*SUBSIDIO!$Z$116)+(SUBSIDIO!$N$116*SUBSIDIO!$AA$116))*(0.02)/(1-0.02)</f>
        <v>186.52667993559461</v>
      </c>
      <c r="AF116" s="3" t="s">
        <v>610</v>
      </c>
    </row>
    <row r="117" spans="1:32" ht="11.25" customHeight="1" x14ac:dyDescent="0.25">
      <c r="A117" s="3" t="s">
        <v>21</v>
      </c>
      <c r="B117" s="3" t="s">
        <v>35</v>
      </c>
      <c r="C117" s="3" t="s">
        <v>36</v>
      </c>
      <c r="D117" s="3" t="s">
        <v>41</v>
      </c>
      <c r="E117" s="3" t="s">
        <v>50</v>
      </c>
      <c r="F117" s="3" t="s">
        <v>25</v>
      </c>
      <c r="G117" s="3" t="s">
        <v>25</v>
      </c>
      <c r="H117" s="3" t="s">
        <v>37</v>
      </c>
      <c r="I117" s="6">
        <v>44652</v>
      </c>
      <c r="J117" s="4">
        <v>0</v>
      </c>
      <c r="K117" s="52">
        <v>0</v>
      </c>
      <c r="L117" s="4">
        <v>4.7699999999999996</v>
      </c>
      <c r="M117" s="52">
        <v>4.7699999999999996</v>
      </c>
      <c r="N117" s="4">
        <v>4.7699999999999996</v>
      </c>
      <c r="O117" s="52">
        <v>4.7699999999999996</v>
      </c>
      <c r="P117" s="4">
        <v>0</v>
      </c>
      <c r="Q117" s="3" t="s">
        <v>26</v>
      </c>
      <c r="R117" s="3">
        <v>0</v>
      </c>
      <c r="S117" s="3">
        <v>0</v>
      </c>
      <c r="T117" s="3">
        <v>33</v>
      </c>
      <c r="U117" s="3">
        <v>51</v>
      </c>
      <c r="V117" s="52">
        <f>IF(ISERROR(VLOOKUP($S$117,'TAR FIN'!$A$1:$O$85,15,0)),0,VLOOKUP($S$117,'TAR FIN'!$A$1:$O$85,15,0))</f>
        <v>0</v>
      </c>
      <c r="W117" s="52">
        <f>IF(ISERROR(VLOOKUP($T$117,'TAR FIN'!$A$1:$O$85,15,0)),0,VLOOKUP($T$117,'TAR FIN'!$A$1:$O$85,15,0))*(1-0.04)</f>
        <v>1859.4623999999999</v>
      </c>
      <c r="X117" s="52">
        <f>IF(ISERROR(VLOOKUP($U$117,'TAR FIN'!$A$1:$O$85,15,0)),0,VLOOKUP($U$117,'TAR FIN'!$A$1:$O$85,15,0))*(1-0.04)</f>
        <v>257.1936</v>
      </c>
      <c r="Y117" s="52"/>
      <c r="Z117" s="52">
        <f ca="1">('TUSD BE'!$AM$11+'TUSD BF'!$AM$11+'TUSD CVA'!$AM$11)*1*(1-0.02)</f>
        <v>2163.0303623265568</v>
      </c>
      <c r="AA117" s="52">
        <f>('TE BE'!$AB$5+'TE BF'!$AB$5+'TE CVA'!$AB$5)*1*(1-0.02)</f>
        <v>181.71240751544846</v>
      </c>
      <c r="AB117" s="52">
        <f>(SUBSIDIO!$J$117*SUBSIDIO!$V$117)*(0.04)/(1-0.04)</f>
        <v>0</v>
      </c>
      <c r="AC117" s="52">
        <f>((SUBSIDIO!$L$117*SUBSIDIO!$W$117)+(SUBSIDIO!$N$117*SUBSIDIO!$X$117))*(0.04)/(1-0.04)</f>
        <v>420.68538000000001</v>
      </c>
      <c r="AD117" s="52">
        <f>(SUBSIDIO!$J$117*SUBSIDIO!$Y$117)*(0.02)/(1-0.02)</f>
        <v>0</v>
      </c>
      <c r="AE117" s="52">
        <f ca="1">((SUBSIDIO!$L$117*SUBSIDIO!$Z$117)+(SUBSIDIO!$N$117*SUBSIDIO!$AA$117))*(0.02)/(1-0.02)</f>
        <v>228.25353086012987</v>
      </c>
      <c r="AF117" s="3" t="s">
        <v>610</v>
      </c>
    </row>
    <row r="118" spans="1:32" ht="11.25" customHeight="1" x14ac:dyDescent="0.25">
      <c r="A118" s="3" t="s">
        <v>21</v>
      </c>
      <c r="B118" s="3" t="s">
        <v>35</v>
      </c>
      <c r="C118" s="3" t="s">
        <v>36</v>
      </c>
      <c r="D118" s="3" t="s">
        <v>41</v>
      </c>
      <c r="E118" s="3" t="s">
        <v>50</v>
      </c>
      <c r="F118" s="3" t="s">
        <v>25</v>
      </c>
      <c r="G118" s="3" t="s">
        <v>25</v>
      </c>
      <c r="H118" s="3" t="s">
        <v>37</v>
      </c>
      <c r="I118" s="6">
        <v>44682</v>
      </c>
      <c r="J118" s="4">
        <v>0</v>
      </c>
      <c r="K118" s="52">
        <v>0</v>
      </c>
      <c r="L118" s="4">
        <v>4.7590000000000003</v>
      </c>
      <c r="M118" s="52">
        <v>4.7590000000000003</v>
      </c>
      <c r="N118" s="4">
        <v>4.7590000000000003</v>
      </c>
      <c r="O118" s="52">
        <v>4.7590000000000003</v>
      </c>
      <c r="P118" s="4">
        <v>0</v>
      </c>
      <c r="Q118" s="3" t="s">
        <v>26</v>
      </c>
      <c r="R118" s="3">
        <v>0</v>
      </c>
      <c r="S118" s="3">
        <v>0</v>
      </c>
      <c r="T118" s="3">
        <v>33</v>
      </c>
      <c r="U118" s="3">
        <v>51</v>
      </c>
      <c r="V118" s="52">
        <f>IF(ISERROR(VLOOKUP($S$118,'TAR FIN'!$A$1:$O$85,15,0)),0,VLOOKUP($S$118,'TAR FIN'!$A$1:$O$85,15,0))</f>
        <v>0</v>
      </c>
      <c r="W118" s="52">
        <f>IF(ISERROR(VLOOKUP($T$118,'TAR FIN'!$A$1:$O$85,15,0)),0,VLOOKUP($T$118,'TAR FIN'!$A$1:$O$85,15,0))*(1-0.04)</f>
        <v>1859.4623999999999</v>
      </c>
      <c r="X118" s="52">
        <f>IF(ISERROR(VLOOKUP($U$118,'TAR FIN'!$A$1:$O$85,15,0)),0,VLOOKUP($U$118,'TAR FIN'!$A$1:$O$85,15,0))*(1-0.04)</f>
        <v>257.1936</v>
      </c>
      <c r="Y118" s="52"/>
      <c r="Z118" s="52">
        <f ca="1">('TUSD BE'!$AM$11+'TUSD BF'!$AM$11+'TUSD CVA'!$AM$11)*1*(1-0.02)</f>
        <v>2163.0303623265568</v>
      </c>
      <c r="AA118" s="52">
        <f>('TE BE'!$AB$5+'TE BF'!$AB$5+'TE CVA'!$AB$5)*1*(1-0.02)</f>
        <v>181.71240751544846</v>
      </c>
      <c r="AB118" s="52">
        <f>(SUBSIDIO!$J$118*SUBSIDIO!$V$118)*(0.04)/(1-0.04)</f>
        <v>0</v>
      </c>
      <c r="AC118" s="52">
        <f>((SUBSIDIO!$L$118*SUBSIDIO!$W$118)+(SUBSIDIO!$N$118*SUBSIDIO!$X$118))*(0.04)/(1-0.04)</f>
        <v>419.71524600000004</v>
      </c>
      <c r="AD118" s="52">
        <f>(SUBSIDIO!$J$118*SUBSIDIO!$Y$118)*(0.02)/(1-0.02)</f>
        <v>0</v>
      </c>
      <c r="AE118" s="52">
        <f ca="1">((SUBSIDIO!$L$118*SUBSIDIO!$Z$118)+(SUBSIDIO!$N$118*SUBSIDIO!$AA$118))*(0.02)/(1-0.02)</f>
        <v>227.72716003424702</v>
      </c>
      <c r="AF118" s="3" t="s">
        <v>610</v>
      </c>
    </row>
    <row r="119" spans="1:32" ht="11.25" customHeight="1" x14ac:dyDescent="0.25">
      <c r="A119" s="3" t="s">
        <v>21</v>
      </c>
      <c r="B119" s="3" t="s">
        <v>35</v>
      </c>
      <c r="C119" s="3" t="s">
        <v>36</v>
      </c>
      <c r="D119" s="3" t="s">
        <v>41</v>
      </c>
      <c r="E119" s="3" t="s">
        <v>50</v>
      </c>
      <c r="F119" s="3" t="s">
        <v>25</v>
      </c>
      <c r="G119" s="3" t="s">
        <v>25</v>
      </c>
      <c r="H119" s="3" t="s">
        <v>37</v>
      </c>
      <c r="I119" s="6">
        <v>44713</v>
      </c>
      <c r="J119" s="4">
        <v>0</v>
      </c>
      <c r="K119" s="52">
        <v>0</v>
      </c>
      <c r="L119" s="4">
        <v>4.8280000000000003</v>
      </c>
      <c r="M119" s="52">
        <v>4.8280000000000003</v>
      </c>
      <c r="N119" s="4">
        <v>4.8280000000000003</v>
      </c>
      <c r="O119" s="52">
        <v>4.8280000000000003</v>
      </c>
      <c r="P119" s="4">
        <v>0</v>
      </c>
      <c r="Q119" s="3" t="s">
        <v>26</v>
      </c>
      <c r="R119" s="3">
        <v>0</v>
      </c>
      <c r="S119" s="3">
        <v>0</v>
      </c>
      <c r="T119" s="3">
        <v>33</v>
      </c>
      <c r="U119" s="3">
        <v>51</v>
      </c>
      <c r="V119" s="52">
        <f>IF(ISERROR(VLOOKUP($S$119,'TAR FIN'!$A$1:$O$85,15,0)),0,VLOOKUP($S$119,'TAR FIN'!$A$1:$O$85,15,0))</f>
        <v>0</v>
      </c>
      <c r="W119" s="52">
        <f>IF(ISERROR(VLOOKUP($T$119,'TAR FIN'!$A$1:$O$85,15,0)),0,VLOOKUP($T$119,'TAR FIN'!$A$1:$O$85,15,0))*(1-0.04)</f>
        <v>1859.4623999999999</v>
      </c>
      <c r="X119" s="52">
        <f>IF(ISERROR(VLOOKUP($U$119,'TAR FIN'!$A$1:$O$85,15,0)),0,VLOOKUP($U$119,'TAR FIN'!$A$1:$O$85,15,0))*(1-0.04)</f>
        <v>257.1936</v>
      </c>
      <c r="Y119" s="52"/>
      <c r="Z119" s="52">
        <f ca="1">('TUSD BE'!$AM$11+'TUSD BF'!$AM$11+'TUSD CVA'!$AM$11)*1*(1-0.02)</f>
        <v>2163.0303623265568</v>
      </c>
      <c r="AA119" s="52">
        <f>('TE BE'!$AB$5+'TE BF'!$AB$5+'TE CVA'!$AB$5)*1*(1-0.02)</f>
        <v>181.71240751544846</v>
      </c>
      <c r="AB119" s="52">
        <f>(SUBSIDIO!$J$119*SUBSIDIO!$V$119)*(0.04)/(1-0.04)</f>
        <v>0</v>
      </c>
      <c r="AC119" s="52">
        <f>((SUBSIDIO!$L$119*SUBSIDIO!$W$119)+(SUBSIDIO!$N$119*SUBSIDIO!$X$119))*(0.04)/(1-0.04)</f>
        <v>425.80063200000006</v>
      </c>
      <c r="AD119" s="52">
        <f>(SUBSIDIO!$J$119*SUBSIDIO!$Y$119)*(0.02)/(1-0.02)</f>
        <v>0</v>
      </c>
      <c r="AE119" s="52">
        <f ca="1">((SUBSIDIO!$L$119*SUBSIDIO!$Z$119)+(SUBSIDIO!$N$119*SUBSIDIO!$AA$119))*(0.02)/(1-0.02)</f>
        <v>231.02894066933069</v>
      </c>
      <c r="AF119" s="3" t="s">
        <v>610</v>
      </c>
    </row>
    <row r="120" spans="1:32" ht="11.25" customHeight="1" x14ac:dyDescent="0.25">
      <c r="A120" s="3" t="s">
        <v>21</v>
      </c>
      <c r="B120" s="3" t="s">
        <v>35</v>
      </c>
      <c r="C120" s="3" t="s">
        <v>36</v>
      </c>
      <c r="D120" s="3" t="s">
        <v>41</v>
      </c>
      <c r="E120" s="3" t="s">
        <v>50</v>
      </c>
      <c r="F120" s="3" t="s">
        <v>25</v>
      </c>
      <c r="G120" s="3" t="s">
        <v>25</v>
      </c>
      <c r="H120" s="3" t="s">
        <v>37</v>
      </c>
      <c r="I120" s="6">
        <v>44743</v>
      </c>
      <c r="J120" s="4">
        <v>0</v>
      </c>
      <c r="K120" s="52">
        <v>0</v>
      </c>
      <c r="L120" s="4">
        <v>6.4169999999999998</v>
      </c>
      <c r="M120" s="52">
        <v>6.4169999999999998</v>
      </c>
      <c r="N120" s="4">
        <v>6.4169999999999998</v>
      </c>
      <c r="O120" s="52">
        <v>6.4169999999999998</v>
      </c>
      <c r="P120" s="4">
        <v>0</v>
      </c>
      <c r="Q120" s="3" t="s">
        <v>26</v>
      </c>
      <c r="R120" s="3">
        <v>0</v>
      </c>
      <c r="S120" s="3">
        <v>0</v>
      </c>
      <c r="T120" s="3">
        <v>33</v>
      </c>
      <c r="U120" s="3">
        <v>51</v>
      </c>
      <c r="V120" s="52">
        <f>IF(ISERROR(VLOOKUP($S$120,'TAR FIN'!$A$1:$O$85,15,0)),0,VLOOKUP($S$120,'TAR FIN'!$A$1:$O$85,15,0))</f>
        <v>0</v>
      </c>
      <c r="W120" s="52">
        <f>IF(ISERROR(VLOOKUP($T$120,'TAR FIN'!$A$1:$O$85,15,0)),0,VLOOKUP($T$120,'TAR FIN'!$A$1:$O$85,15,0))*(1-0.04)</f>
        <v>1859.4623999999999</v>
      </c>
      <c r="X120" s="52">
        <f>IF(ISERROR(VLOOKUP($U$120,'TAR FIN'!$A$1:$O$85,15,0)),0,VLOOKUP($U$120,'TAR FIN'!$A$1:$O$85,15,0))*(1-0.04)</f>
        <v>257.1936</v>
      </c>
      <c r="Y120" s="52"/>
      <c r="Z120" s="52">
        <f ca="1">('TUSD BE'!$AM$11+'TUSD BF'!$AM$11+'TUSD CVA'!$AM$11)*1*(1-0.02)</f>
        <v>2163.0303623265568</v>
      </c>
      <c r="AA120" s="52">
        <f>('TE BE'!$AB$5+'TE BF'!$AB$5+'TE CVA'!$AB$5)*1*(1-0.02)</f>
        <v>181.71240751544846</v>
      </c>
      <c r="AB120" s="52">
        <f>(SUBSIDIO!$J$120*SUBSIDIO!$V$120)*(0.04)/(1-0.04)</f>
        <v>0</v>
      </c>
      <c r="AC120" s="52">
        <f>((SUBSIDIO!$L$120*SUBSIDIO!$W$120)+(SUBSIDIO!$N$120*SUBSIDIO!$X$120))*(0.04)/(1-0.04)</f>
        <v>565.94089799999995</v>
      </c>
      <c r="AD120" s="52">
        <f>(SUBSIDIO!$J$120*SUBSIDIO!$Y$120)*(0.02)/(1-0.02)</f>
        <v>0</v>
      </c>
      <c r="AE120" s="52">
        <f ca="1">((SUBSIDIO!$L$120*SUBSIDIO!$Z$120)+(SUBSIDIO!$N$120*SUBSIDIO!$AA$120))*(0.02)/(1-0.02)</f>
        <v>307.06559906277852</v>
      </c>
      <c r="AF120" s="3" t="s">
        <v>610</v>
      </c>
    </row>
    <row r="121" spans="1:32" ht="11.25" customHeight="1" x14ac:dyDescent="0.25">
      <c r="A121" s="3" t="s">
        <v>21</v>
      </c>
      <c r="B121" s="3" t="s">
        <v>35</v>
      </c>
      <c r="C121" s="3" t="s">
        <v>36</v>
      </c>
      <c r="D121" s="3" t="s">
        <v>41</v>
      </c>
      <c r="E121" s="3" t="s">
        <v>50</v>
      </c>
      <c r="F121" s="3" t="s">
        <v>25</v>
      </c>
      <c r="G121" s="3" t="s">
        <v>25</v>
      </c>
      <c r="H121" s="3" t="s">
        <v>37</v>
      </c>
      <c r="I121" s="6">
        <v>44774</v>
      </c>
      <c r="J121" s="4">
        <v>0</v>
      </c>
      <c r="K121" s="52">
        <v>0</v>
      </c>
      <c r="L121" s="4">
        <v>17.626000000000001</v>
      </c>
      <c r="M121" s="52">
        <v>17.626000000000001</v>
      </c>
      <c r="N121" s="4">
        <v>17.626000000000001</v>
      </c>
      <c r="O121" s="52">
        <v>17.626000000000001</v>
      </c>
      <c r="P121" s="4">
        <v>0</v>
      </c>
      <c r="Q121" s="3" t="s">
        <v>26</v>
      </c>
      <c r="R121" s="3">
        <v>0</v>
      </c>
      <c r="S121" s="3">
        <v>0</v>
      </c>
      <c r="T121" s="3">
        <v>33</v>
      </c>
      <c r="U121" s="3">
        <v>51</v>
      </c>
      <c r="V121" s="52">
        <f>IF(ISERROR(VLOOKUP($S$121,'TAR FIN'!$A$1:$O$85,15,0)),0,VLOOKUP($S$121,'TAR FIN'!$A$1:$O$85,15,0))</f>
        <v>0</v>
      </c>
      <c r="W121" s="52">
        <f>IF(ISERROR(VLOOKUP($T$121,'TAR FIN'!$A$1:$O$85,15,0)),0,VLOOKUP($T$121,'TAR FIN'!$A$1:$O$85,15,0))*(1-0.04)</f>
        <v>1859.4623999999999</v>
      </c>
      <c r="X121" s="52">
        <f>IF(ISERROR(VLOOKUP($U$121,'TAR FIN'!$A$1:$O$85,15,0)),0,VLOOKUP($U$121,'TAR FIN'!$A$1:$O$85,15,0))*(1-0.04)</f>
        <v>257.1936</v>
      </c>
      <c r="Y121" s="52"/>
      <c r="Z121" s="52">
        <f ca="1">('TUSD BE'!$AM$11+'TUSD BF'!$AM$11+'TUSD CVA'!$AM$11)*1*(1-0.02)</f>
        <v>2163.0303623265568</v>
      </c>
      <c r="AA121" s="52">
        <f>('TE BE'!$AB$5+'TE BF'!$AB$5+'TE CVA'!$AB$5)*1*(1-0.02)</f>
        <v>181.71240751544846</v>
      </c>
      <c r="AB121" s="52">
        <f>(SUBSIDIO!$J$121*SUBSIDIO!$V$121)*(0.04)/(1-0.04)</f>
        <v>0</v>
      </c>
      <c r="AC121" s="52">
        <f>((SUBSIDIO!$L$121*SUBSIDIO!$W$121)+(SUBSIDIO!$N$121*SUBSIDIO!$X$121))*(0.04)/(1-0.04)</f>
        <v>1554.5074440000003</v>
      </c>
      <c r="AD121" s="52">
        <f>(SUBSIDIO!$J$121*SUBSIDIO!$Y$121)*(0.02)/(1-0.02)</f>
        <v>0</v>
      </c>
      <c r="AE121" s="52">
        <f ca="1">((SUBSIDIO!$L$121*SUBSIDIO!$Z$121)+(SUBSIDIO!$N$121*SUBSIDIO!$AA$121))*(0.02)/(1-0.02)</f>
        <v>843.43747063745263</v>
      </c>
      <c r="AF121" s="3" t="s">
        <v>610</v>
      </c>
    </row>
    <row r="122" spans="1:32" ht="11.25" customHeight="1" x14ac:dyDescent="0.25">
      <c r="A122" s="3" t="s">
        <v>21</v>
      </c>
      <c r="B122" s="3" t="s">
        <v>35</v>
      </c>
      <c r="C122" s="3" t="s">
        <v>36</v>
      </c>
      <c r="D122" s="3" t="s">
        <v>41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44440</v>
      </c>
      <c r="J122" s="4">
        <v>0</v>
      </c>
      <c r="K122" s="52">
        <v>0</v>
      </c>
      <c r="L122" s="4">
        <v>48.719000000000001</v>
      </c>
      <c r="M122" s="52">
        <v>48.719000000000001</v>
      </c>
      <c r="N122" s="4">
        <v>48.719000000000001</v>
      </c>
      <c r="O122" s="52">
        <v>48.719000000000001</v>
      </c>
      <c r="P122" s="4">
        <v>0</v>
      </c>
      <c r="Q122" s="3" t="s">
        <v>26</v>
      </c>
      <c r="R122" s="3">
        <v>0</v>
      </c>
      <c r="S122" s="3">
        <v>0</v>
      </c>
      <c r="T122" s="3">
        <v>15</v>
      </c>
      <c r="U122" s="3">
        <v>67</v>
      </c>
      <c r="V122" s="52">
        <f>IF(ISERROR(VLOOKUP($S$122,'TAR FIN'!$A$1:$O$85,15,0)),0,VLOOKUP($S$122,'TAR FIN'!$A$1:$O$85,15,0))</f>
        <v>0</v>
      </c>
      <c r="W122" s="52">
        <f>IF(ISERROR(VLOOKUP($T$122,'TAR FIN'!$A$1:$O$85,15,0)),0,VLOOKUP($T$122,'TAR FIN'!$A$1:$O$85,15,0))*(1-0.04)</f>
        <v>54.6432</v>
      </c>
      <c r="X122" s="52">
        <f>IF(ISERROR(VLOOKUP($U$122,'TAR FIN'!$A$1:$O$85,15,0)),0,VLOOKUP($U$122,'TAR FIN'!$A$1:$O$85,15,0))*(1-0.04)</f>
        <v>257.1936</v>
      </c>
      <c r="Y122" s="52"/>
      <c r="Z122" s="52">
        <f ca="1">('TUSD BE'!$AM$12+'TUSD BF'!$AM$12+'TUSD CVA'!$AM$12)*1*(1-0.02)</f>
        <v>98.144213445836201</v>
      </c>
      <c r="AA122" s="52">
        <f>('TE BE'!$AB$6+'TE BF'!$AB$6+'TE CVA'!$AB$6)*1*(1-0.02)</f>
        <v>181.71240751544846</v>
      </c>
      <c r="AB122" s="52">
        <f>(SUBSIDIO!$J$122*SUBSIDIO!$V$122)*(0.04)/(1-0.04)</f>
        <v>0</v>
      </c>
      <c r="AC122" s="52">
        <f>((SUBSIDIO!$L$122*SUBSIDIO!$W$122)+(SUBSIDIO!$N$122*SUBSIDIO!$X$122))*(0.04)/(1-0.04)</f>
        <v>633.01571080000008</v>
      </c>
      <c r="AD122" s="52">
        <f>(SUBSIDIO!$J$122*SUBSIDIO!$Y$122)*(0.02)/(1-0.02)</f>
        <v>0</v>
      </c>
      <c r="AE122" s="52">
        <f ca="1">((SUBSIDIO!$L$122*SUBSIDIO!$Z$122)+(SUBSIDIO!$N$122*SUBSIDIO!$AA$122))*(0.02)/(1-0.02)</f>
        <v>278.25172891046594</v>
      </c>
      <c r="AF122" s="3" t="s">
        <v>610</v>
      </c>
    </row>
    <row r="123" spans="1:32" ht="11.25" customHeight="1" x14ac:dyDescent="0.25">
      <c r="A123" s="3" t="s">
        <v>21</v>
      </c>
      <c r="B123" s="3" t="s">
        <v>35</v>
      </c>
      <c r="C123" s="3" t="s">
        <v>36</v>
      </c>
      <c r="D123" s="3" t="s">
        <v>41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44470</v>
      </c>
      <c r="J123" s="4">
        <v>0</v>
      </c>
      <c r="K123" s="52">
        <v>0</v>
      </c>
      <c r="L123" s="4">
        <v>18.87</v>
      </c>
      <c r="M123" s="52">
        <v>18.87</v>
      </c>
      <c r="N123" s="4">
        <v>18.87</v>
      </c>
      <c r="O123" s="52">
        <v>18.87</v>
      </c>
      <c r="P123" s="4">
        <v>0</v>
      </c>
      <c r="Q123" s="3" t="s">
        <v>26</v>
      </c>
      <c r="R123" s="3">
        <v>0</v>
      </c>
      <c r="S123" s="3">
        <v>0</v>
      </c>
      <c r="T123" s="3">
        <v>15</v>
      </c>
      <c r="U123" s="3">
        <v>67</v>
      </c>
      <c r="V123" s="52">
        <f>IF(ISERROR(VLOOKUP($S$123,'TAR FIN'!$A$1:$O$85,15,0)),0,VLOOKUP($S$123,'TAR FIN'!$A$1:$O$85,15,0))</f>
        <v>0</v>
      </c>
      <c r="W123" s="52">
        <f>IF(ISERROR(VLOOKUP($T$123,'TAR FIN'!$A$1:$O$85,15,0)),0,VLOOKUP($T$123,'TAR FIN'!$A$1:$O$85,15,0))*(1-0.04)</f>
        <v>54.6432</v>
      </c>
      <c r="X123" s="52">
        <f>IF(ISERROR(VLOOKUP($U$123,'TAR FIN'!$A$1:$O$85,15,0)),0,VLOOKUP($U$123,'TAR FIN'!$A$1:$O$85,15,0))*(1-0.04)</f>
        <v>257.1936</v>
      </c>
      <c r="Y123" s="52"/>
      <c r="Z123" s="52">
        <f ca="1">('TUSD BE'!$AM$12+'TUSD BF'!$AM$12+'TUSD CVA'!$AM$12)*1*(1-0.02)</f>
        <v>98.144213445836201</v>
      </c>
      <c r="AA123" s="52">
        <f>('TE BE'!$AB$6+'TE BF'!$AB$6+'TE CVA'!$AB$6)*1*(1-0.02)</f>
        <v>181.71240751544846</v>
      </c>
      <c r="AB123" s="52">
        <f>(SUBSIDIO!$J$123*SUBSIDIO!$V$123)*(0.04)/(1-0.04)</f>
        <v>0</v>
      </c>
      <c r="AC123" s="52">
        <f>((SUBSIDIO!$L$123*SUBSIDIO!$W$123)+(SUBSIDIO!$N$123*SUBSIDIO!$X$123))*(0.04)/(1-0.04)</f>
        <v>245.18168400000002</v>
      </c>
      <c r="AD123" s="52">
        <f>(SUBSIDIO!$J$123*SUBSIDIO!$Y$123)*(0.02)/(1-0.02)</f>
        <v>0</v>
      </c>
      <c r="AE123" s="52">
        <f ca="1">((SUBSIDIO!$L$123*SUBSIDIO!$Z$123)+(SUBSIDIO!$N$123*SUBSIDIO!$AA$123))*(0.02)/(1-0.02)</f>
        <v>107.7733558681519</v>
      </c>
      <c r="AF123" s="3" t="s">
        <v>610</v>
      </c>
    </row>
    <row r="124" spans="1:32" ht="11.25" customHeight="1" x14ac:dyDescent="0.25">
      <c r="A124" s="3" t="s">
        <v>21</v>
      </c>
      <c r="B124" s="3" t="s">
        <v>35</v>
      </c>
      <c r="C124" s="3" t="s">
        <v>36</v>
      </c>
      <c r="D124" s="3" t="s">
        <v>41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44501</v>
      </c>
      <c r="J124" s="4">
        <v>0</v>
      </c>
      <c r="K124" s="52">
        <v>0</v>
      </c>
      <c r="L124" s="4">
        <v>16.084</v>
      </c>
      <c r="M124" s="52">
        <v>16.084</v>
      </c>
      <c r="N124" s="4">
        <v>16.084</v>
      </c>
      <c r="O124" s="52">
        <v>16.084</v>
      </c>
      <c r="P124" s="4">
        <v>0</v>
      </c>
      <c r="Q124" s="3" t="s">
        <v>26</v>
      </c>
      <c r="R124" s="3">
        <v>0</v>
      </c>
      <c r="S124" s="3">
        <v>0</v>
      </c>
      <c r="T124" s="3">
        <v>15</v>
      </c>
      <c r="U124" s="3">
        <v>67</v>
      </c>
      <c r="V124" s="52">
        <f>IF(ISERROR(VLOOKUP($S$124,'TAR FIN'!$A$1:$O$85,15,0)),0,VLOOKUP($S$124,'TAR FIN'!$A$1:$O$85,15,0))</f>
        <v>0</v>
      </c>
      <c r="W124" s="52">
        <f>IF(ISERROR(VLOOKUP($T$124,'TAR FIN'!$A$1:$O$85,15,0)),0,VLOOKUP($T$124,'TAR FIN'!$A$1:$O$85,15,0))*(1-0.04)</f>
        <v>54.6432</v>
      </c>
      <c r="X124" s="52">
        <f>IF(ISERROR(VLOOKUP($U$124,'TAR FIN'!$A$1:$O$85,15,0)),0,VLOOKUP($U$124,'TAR FIN'!$A$1:$O$85,15,0))*(1-0.04)</f>
        <v>257.1936</v>
      </c>
      <c r="Y124" s="52"/>
      <c r="Z124" s="52">
        <f ca="1">('TUSD BE'!$AM$12+'TUSD BF'!$AM$12+'TUSD CVA'!$AM$12)*1*(1-0.02)</f>
        <v>98.144213445836201</v>
      </c>
      <c r="AA124" s="52">
        <f>('TE BE'!$AB$6+'TE BF'!$AB$6+'TE CVA'!$AB$6)*1*(1-0.02)</f>
        <v>181.71240751544846</v>
      </c>
      <c r="AB124" s="52">
        <f>(SUBSIDIO!$J$124*SUBSIDIO!$V$124)*(0.04)/(1-0.04)</f>
        <v>0</v>
      </c>
      <c r="AC124" s="52">
        <f>((SUBSIDIO!$L$124*SUBSIDIO!$W$124)+(SUBSIDIO!$N$124*SUBSIDIO!$X$124))*(0.04)/(1-0.04)</f>
        <v>208.98262880000001</v>
      </c>
      <c r="AD124" s="52">
        <f>(SUBSIDIO!$J$124*SUBSIDIO!$Y$124)*(0.02)/(1-0.02)</f>
        <v>0</v>
      </c>
      <c r="AE124" s="52">
        <f ca="1">((SUBSIDIO!$L$124*SUBSIDIO!$Z$124)+(SUBSIDIO!$N$124*SUBSIDIO!$AA$124))*(0.02)/(1-0.02)</f>
        <v>91.861507990638827</v>
      </c>
      <c r="AF124" s="3" t="s">
        <v>610</v>
      </c>
    </row>
    <row r="125" spans="1:32" ht="11.25" customHeight="1" x14ac:dyDescent="0.25">
      <c r="A125" s="3" t="s">
        <v>21</v>
      </c>
      <c r="B125" s="3" t="s">
        <v>35</v>
      </c>
      <c r="C125" s="3" t="s">
        <v>36</v>
      </c>
      <c r="D125" s="3" t="s">
        <v>41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44531</v>
      </c>
      <c r="J125" s="4">
        <v>0</v>
      </c>
      <c r="K125" s="52">
        <v>0</v>
      </c>
      <c r="L125" s="4">
        <v>15.750999999999999</v>
      </c>
      <c r="M125" s="52">
        <v>15.750999999999999</v>
      </c>
      <c r="N125" s="4">
        <v>15.750999999999999</v>
      </c>
      <c r="O125" s="52">
        <v>15.750999999999999</v>
      </c>
      <c r="P125" s="4">
        <v>0</v>
      </c>
      <c r="Q125" s="3" t="s">
        <v>26</v>
      </c>
      <c r="R125" s="3">
        <v>0</v>
      </c>
      <c r="S125" s="3">
        <v>0</v>
      </c>
      <c r="T125" s="3">
        <v>15</v>
      </c>
      <c r="U125" s="3">
        <v>67</v>
      </c>
      <c r="V125" s="52">
        <f>IF(ISERROR(VLOOKUP($S$125,'TAR FIN'!$A$1:$O$85,15,0)),0,VLOOKUP($S$125,'TAR FIN'!$A$1:$O$85,15,0))</f>
        <v>0</v>
      </c>
      <c r="W125" s="52">
        <f>IF(ISERROR(VLOOKUP($T$125,'TAR FIN'!$A$1:$O$85,15,0)),0,VLOOKUP($T$125,'TAR FIN'!$A$1:$O$85,15,0))*(1-0.04)</f>
        <v>54.6432</v>
      </c>
      <c r="X125" s="52">
        <f>IF(ISERROR(VLOOKUP($U$125,'TAR FIN'!$A$1:$O$85,15,0)),0,VLOOKUP($U$125,'TAR FIN'!$A$1:$O$85,15,0))*(1-0.04)</f>
        <v>257.1936</v>
      </c>
      <c r="Y125" s="52"/>
      <c r="Z125" s="52">
        <f ca="1">('TUSD BE'!$AM$12+'TUSD BF'!$AM$12+'TUSD CVA'!$AM$12)*1*(1-0.02)</f>
        <v>98.144213445836201</v>
      </c>
      <c r="AA125" s="52">
        <f>('TE BE'!$AB$6+'TE BF'!$AB$6+'TE CVA'!$AB$6)*1*(1-0.02)</f>
        <v>181.71240751544846</v>
      </c>
      <c r="AB125" s="52">
        <f>(SUBSIDIO!$J$125*SUBSIDIO!$V$125)*(0.04)/(1-0.04)</f>
        <v>0</v>
      </c>
      <c r="AC125" s="52">
        <f>((SUBSIDIO!$L$125*SUBSIDIO!$W$125)+(SUBSIDIO!$N$125*SUBSIDIO!$X$125))*(0.04)/(1-0.04)</f>
        <v>204.65589320000001</v>
      </c>
      <c r="AD125" s="52">
        <f>(SUBSIDIO!$J$125*SUBSIDIO!$Y$125)*(0.02)/(1-0.02)</f>
        <v>0</v>
      </c>
      <c r="AE125" s="52">
        <f ca="1">((SUBSIDIO!$L$125*SUBSIDIO!$Z$125)+(SUBSIDIO!$N$125*SUBSIDIO!$AA$125))*(0.02)/(1-0.02)</f>
        <v>89.95962524002438</v>
      </c>
      <c r="AF125" s="3" t="s">
        <v>610</v>
      </c>
    </row>
    <row r="126" spans="1:32" ht="11.25" customHeight="1" x14ac:dyDescent="0.25">
      <c r="A126" s="3" t="s">
        <v>21</v>
      </c>
      <c r="B126" s="3" t="s">
        <v>35</v>
      </c>
      <c r="C126" s="3" t="s">
        <v>36</v>
      </c>
      <c r="D126" s="3" t="s">
        <v>41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44562</v>
      </c>
      <c r="J126" s="4">
        <v>0</v>
      </c>
      <c r="K126" s="52">
        <v>0</v>
      </c>
      <c r="L126" s="4">
        <v>14.541</v>
      </c>
      <c r="M126" s="52">
        <v>14.541</v>
      </c>
      <c r="N126" s="4">
        <v>14.541</v>
      </c>
      <c r="O126" s="52">
        <v>14.541</v>
      </c>
      <c r="P126" s="4">
        <v>0</v>
      </c>
      <c r="Q126" s="3" t="s">
        <v>26</v>
      </c>
      <c r="R126" s="3">
        <v>0</v>
      </c>
      <c r="S126" s="3">
        <v>0</v>
      </c>
      <c r="T126" s="3">
        <v>15</v>
      </c>
      <c r="U126" s="3">
        <v>67</v>
      </c>
      <c r="V126" s="52">
        <f>IF(ISERROR(VLOOKUP($S$126,'TAR FIN'!$A$1:$O$85,15,0)),0,VLOOKUP($S$126,'TAR FIN'!$A$1:$O$85,15,0))</f>
        <v>0</v>
      </c>
      <c r="W126" s="52">
        <f>IF(ISERROR(VLOOKUP($T$126,'TAR FIN'!$A$1:$O$85,15,0)),0,VLOOKUP($T$126,'TAR FIN'!$A$1:$O$85,15,0))*(1-0.04)</f>
        <v>54.6432</v>
      </c>
      <c r="X126" s="52">
        <f>IF(ISERROR(VLOOKUP($U$126,'TAR FIN'!$A$1:$O$85,15,0)),0,VLOOKUP($U$126,'TAR FIN'!$A$1:$O$85,15,0))*(1-0.04)</f>
        <v>257.1936</v>
      </c>
      <c r="Y126" s="52"/>
      <c r="Z126" s="52">
        <f ca="1">('TUSD BE'!$AM$12+'TUSD BF'!$AM$12+'TUSD CVA'!$AM$12)*1*(1-0.02)</f>
        <v>98.144213445836201</v>
      </c>
      <c r="AA126" s="52">
        <f>('TE BE'!$AB$6+'TE BF'!$AB$6+'TE CVA'!$AB$6)*1*(1-0.02)</f>
        <v>181.71240751544846</v>
      </c>
      <c r="AB126" s="52">
        <f>(SUBSIDIO!$J$126*SUBSIDIO!$V$126)*(0.04)/(1-0.04)</f>
        <v>0</v>
      </c>
      <c r="AC126" s="52">
        <f>((SUBSIDIO!$L$126*SUBSIDIO!$W$126)+(SUBSIDIO!$N$126*SUBSIDIO!$X$126))*(0.04)/(1-0.04)</f>
        <v>188.93412120000002</v>
      </c>
      <c r="AD126" s="52">
        <f>(SUBSIDIO!$J$126*SUBSIDIO!$Y$126)*(0.02)/(1-0.02)</f>
        <v>0</v>
      </c>
      <c r="AE126" s="52">
        <f ca="1">((SUBSIDIO!$L$126*SUBSIDIO!$Z$126)+(SUBSIDIO!$N$126*SUBSIDIO!$AA$126))*(0.02)/(1-0.02)</f>
        <v>83.048880110164092</v>
      </c>
      <c r="AF126" s="3" t="s">
        <v>610</v>
      </c>
    </row>
    <row r="127" spans="1:32" ht="11.25" customHeight="1" x14ac:dyDescent="0.25">
      <c r="A127" s="3" t="s">
        <v>21</v>
      </c>
      <c r="B127" s="3" t="s">
        <v>35</v>
      </c>
      <c r="C127" s="3" t="s">
        <v>36</v>
      </c>
      <c r="D127" s="3" t="s">
        <v>41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44593</v>
      </c>
      <c r="J127" s="4">
        <v>0</v>
      </c>
      <c r="K127" s="52">
        <v>0</v>
      </c>
      <c r="L127" s="4">
        <v>14.173</v>
      </c>
      <c r="M127" s="52">
        <v>14.173</v>
      </c>
      <c r="N127" s="4">
        <v>14.173</v>
      </c>
      <c r="O127" s="52">
        <v>14.173</v>
      </c>
      <c r="P127" s="4">
        <v>0</v>
      </c>
      <c r="Q127" s="3" t="s">
        <v>26</v>
      </c>
      <c r="R127" s="3">
        <v>0</v>
      </c>
      <c r="S127" s="3">
        <v>0</v>
      </c>
      <c r="T127" s="3">
        <v>15</v>
      </c>
      <c r="U127" s="3">
        <v>67</v>
      </c>
      <c r="V127" s="52">
        <f>IF(ISERROR(VLOOKUP($S$127,'TAR FIN'!$A$1:$O$85,15,0)),0,VLOOKUP($S$127,'TAR FIN'!$A$1:$O$85,15,0))</f>
        <v>0</v>
      </c>
      <c r="W127" s="52">
        <f>IF(ISERROR(VLOOKUP($T$127,'TAR FIN'!$A$1:$O$85,15,0)),0,VLOOKUP($T$127,'TAR FIN'!$A$1:$O$85,15,0))*(1-0.04)</f>
        <v>54.6432</v>
      </c>
      <c r="X127" s="52">
        <f>IF(ISERROR(VLOOKUP($U$127,'TAR FIN'!$A$1:$O$85,15,0)),0,VLOOKUP($U$127,'TAR FIN'!$A$1:$O$85,15,0))*(1-0.04)</f>
        <v>257.1936</v>
      </c>
      <c r="Y127" s="52"/>
      <c r="Z127" s="52">
        <f ca="1">('TUSD BE'!$AM$12+'TUSD BF'!$AM$12+'TUSD CVA'!$AM$12)*1*(1-0.02)</f>
        <v>98.144213445836201</v>
      </c>
      <c r="AA127" s="52">
        <f>('TE BE'!$AB$6+'TE BF'!$AB$6+'TE CVA'!$AB$6)*1*(1-0.02)</f>
        <v>181.71240751544846</v>
      </c>
      <c r="AB127" s="52">
        <f>(SUBSIDIO!$J$127*SUBSIDIO!$V$127)*(0.04)/(1-0.04)</f>
        <v>0</v>
      </c>
      <c r="AC127" s="52">
        <f>((SUBSIDIO!$L$127*SUBSIDIO!$W$127)+(SUBSIDIO!$N$127*SUBSIDIO!$X$127))*(0.04)/(1-0.04)</f>
        <v>184.1526236</v>
      </c>
      <c r="AD127" s="52">
        <f>(SUBSIDIO!$J$127*SUBSIDIO!$Y$127)*(0.02)/(1-0.02)</f>
        <v>0</v>
      </c>
      <c r="AE127" s="52">
        <f ca="1">((SUBSIDIO!$L$127*SUBSIDIO!$Z$127)+(SUBSIDIO!$N$127*SUBSIDIO!$AA$127))*(0.02)/(1-0.02)</f>
        <v>80.947099773148722</v>
      </c>
      <c r="AF127" s="3" t="s">
        <v>610</v>
      </c>
    </row>
    <row r="128" spans="1:32" ht="11.25" customHeight="1" x14ac:dyDescent="0.25">
      <c r="A128" s="3" t="s">
        <v>21</v>
      </c>
      <c r="B128" s="3" t="s">
        <v>35</v>
      </c>
      <c r="C128" s="3" t="s">
        <v>36</v>
      </c>
      <c r="D128" s="3" t="s">
        <v>41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44621</v>
      </c>
      <c r="J128" s="4">
        <v>0</v>
      </c>
      <c r="K128" s="52">
        <v>0</v>
      </c>
      <c r="L128" s="4">
        <v>17.863</v>
      </c>
      <c r="M128" s="52">
        <v>17.863</v>
      </c>
      <c r="N128" s="4">
        <v>17.863</v>
      </c>
      <c r="O128" s="52">
        <v>17.863</v>
      </c>
      <c r="P128" s="4">
        <v>0</v>
      </c>
      <c r="Q128" s="3" t="s">
        <v>26</v>
      </c>
      <c r="R128" s="3">
        <v>0</v>
      </c>
      <c r="S128" s="3">
        <v>0</v>
      </c>
      <c r="T128" s="3">
        <v>15</v>
      </c>
      <c r="U128" s="3">
        <v>67</v>
      </c>
      <c r="V128" s="52">
        <f>IF(ISERROR(VLOOKUP($S$128,'TAR FIN'!$A$1:$O$85,15,0)),0,VLOOKUP($S$128,'TAR FIN'!$A$1:$O$85,15,0))</f>
        <v>0</v>
      </c>
      <c r="W128" s="52">
        <f>IF(ISERROR(VLOOKUP($T$128,'TAR FIN'!$A$1:$O$85,15,0)),0,VLOOKUP($T$128,'TAR FIN'!$A$1:$O$85,15,0))*(1-0.04)</f>
        <v>54.6432</v>
      </c>
      <c r="X128" s="52">
        <f>IF(ISERROR(VLOOKUP($U$128,'TAR FIN'!$A$1:$O$85,15,0)),0,VLOOKUP($U$128,'TAR FIN'!$A$1:$O$85,15,0))*(1-0.04)</f>
        <v>257.1936</v>
      </c>
      <c r="Y128" s="52"/>
      <c r="Z128" s="52">
        <f ca="1">('TUSD BE'!$AM$12+'TUSD BF'!$AM$12+'TUSD CVA'!$AM$12)*1*(1-0.02)</f>
        <v>98.144213445836201</v>
      </c>
      <c r="AA128" s="52">
        <f>('TE BE'!$AB$6+'TE BF'!$AB$6+'TE CVA'!$AB$6)*1*(1-0.02)</f>
        <v>181.71240751544846</v>
      </c>
      <c r="AB128" s="52">
        <f>(SUBSIDIO!$J$128*SUBSIDIO!$V$128)*(0.04)/(1-0.04)</f>
        <v>0</v>
      </c>
      <c r="AC128" s="52">
        <f>((SUBSIDIO!$L$128*SUBSIDIO!$W$128)+(SUBSIDIO!$N$128*SUBSIDIO!$X$128))*(0.04)/(1-0.04)</f>
        <v>232.0975316</v>
      </c>
      <c r="AD128" s="52">
        <f>(SUBSIDIO!$J$128*SUBSIDIO!$Y$128)*(0.02)/(1-0.02)</f>
        <v>0</v>
      </c>
      <c r="AE128" s="52">
        <f ca="1">((SUBSIDIO!$L$128*SUBSIDIO!$Z$128)+(SUBSIDIO!$N$128*SUBSIDIO!$AA$128))*(0.02)/(1-0.02)</f>
        <v>102.0220167394169</v>
      </c>
      <c r="AF128" s="3" t="s">
        <v>610</v>
      </c>
    </row>
    <row r="129" spans="1:32" ht="11.25" customHeight="1" x14ac:dyDescent="0.25">
      <c r="A129" s="3" t="s">
        <v>21</v>
      </c>
      <c r="B129" s="3" t="s">
        <v>35</v>
      </c>
      <c r="C129" s="3" t="s">
        <v>36</v>
      </c>
      <c r="D129" s="3" t="s">
        <v>41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44652</v>
      </c>
      <c r="J129" s="4">
        <v>0</v>
      </c>
      <c r="K129" s="52">
        <v>0</v>
      </c>
      <c r="L129" s="4">
        <v>14.571</v>
      </c>
      <c r="M129" s="52">
        <v>14.571</v>
      </c>
      <c r="N129" s="4">
        <v>14.571</v>
      </c>
      <c r="O129" s="52">
        <v>14.571</v>
      </c>
      <c r="P129" s="4">
        <v>0</v>
      </c>
      <c r="Q129" s="3" t="s">
        <v>26</v>
      </c>
      <c r="R129" s="3">
        <v>0</v>
      </c>
      <c r="S129" s="3">
        <v>0</v>
      </c>
      <c r="T129" s="3">
        <v>15</v>
      </c>
      <c r="U129" s="3">
        <v>67</v>
      </c>
      <c r="V129" s="52">
        <f>IF(ISERROR(VLOOKUP($S$129,'TAR FIN'!$A$1:$O$85,15,0)),0,VLOOKUP($S$129,'TAR FIN'!$A$1:$O$85,15,0))</f>
        <v>0</v>
      </c>
      <c r="W129" s="52">
        <f>IF(ISERROR(VLOOKUP($T$129,'TAR FIN'!$A$1:$O$85,15,0)),0,VLOOKUP($T$129,'TAR FIN'!$A$1:$O$85,15,0))*(1-0.04)</f>
        <v>54.6432</v>
      </c>
      <c r="X129" s="52">
        <f>IF(ISERROR(VLOOKUP($U$129,'TAR FIN'!$A$1:$O$85,15,0)),0,VLOOKUP($U$129,'TAR FIN'!$A$1:$O$85,15,0))*(1-0.04)</f>
        <v>257.1936</v>
      </c>
      <c r="Y129" s="52"/>
      <c r="Z129" s="52">
        <f ca="1">('TUSD BE'!$AM$12+'TUSD BF'!$AM$12+'TUSD CVA'!$AM$12)*1*(1-0.02)</f>
        <v>98.144213445836201</v>
      </c>
      <c r="AA129" s="52">
        <f>('TE BE'!$AB$6+'TE BF'!$AB$6+'TE CVA'!$AB$6)*1*(1-0.02)</f>
        <v>181.71240751544846</v>
      </c>
      <c r="AB129" s="52">
        <f>(SUBSIDIO!$J$129*SUBSIDIO!$V$129)*(0.04)/(1-0.04)</f>
        <v>0</v>
      </c>
      <c r="AC129" s="52">
        <f>((SUBSIDIO!$L$129*SUBSIDIO!$W$129)+(SUBSIDIO!$N$129*SUBSIDIO!$X$129))*(0.04)/(1-0.04)</f>
        <v>189.32391719999998</v>
      </c>
      <c r="AD129" s="52">
        <f>(SUBSIDIO!$J$129*SUBSIDIO!$Y$129)*(0.02)/(1-0.02)</f>
        <v>0</v>
      </c>
      <c r="AE129" s="52">
        <f ca="1">((SUBSIDIO!$L$129*SUBSIDIO!$Z$129)+(SUBSIDIO!$N$129*SUBSIDIO!$AA$129))*(0.02)/(1-0.02)</f>
        <v>83.220220898507748</v>
      </c>
      <c r="AF129" s="3" t="s">
        <v>610</v>
      </c>
    </row>
    <row r="130" spans="1:32" ht="11.25" customHeight="1" x14ac:dyDescent="0.25">
      <c r="A130" s="3" t="s">
        <v>21</v>
      </c>
      <c r="B130" s="3" t="s">
        <v>35</v>
      </c>
      <c r="C130" s="3" t="s">
        <v>36</v>
      </c>
      <c r="D130" s="3" t="s">
        <v>41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44682</v>
      </c>
      <c r="J130" s="4">
        <v>0</v>
      </c>
      <c r="K130" s="52">
        <v>0</v>
      </c>
      <c r="L130" s="4">
        <v>71.816999999999993</v>
      </c>
      <c r="M130" s="52">
        <v>71.816999999999993</v>
      </c>
      <c r="N130" s="4">
        <v>71.816999999999993</v>
      </c>
      <c r="O130" s="52">
        <v>71.816999999999993</v>
      </c>
      <c r="P130" s="4">
        <v>0</v>
      </c>
      <c r="Q130" s="3" t="s">
        <v>26</v>
      </c>
      <c r="R130" s="3">
        <v>0</v>
      </c>
      <c r="S130" s="3">
        <v>0</v>
      </c>
      <c r="T130" s="3">
        <v>15</v>
      </c>
      <c r="U130" s="3">
        <v>67</v>
      </c>
      <c r="V130" s="52">
        <f>IF(ISERROR(VLOOKUP($S$130,'TAR FIN'!$A$1:$O$85,15,0)),0,VLOOKUP($S$130,'TAR FIN'!$A$1:$O$85,15,0))</f>
        <v>0</v>
      </c>
      <c r="W130" s="52">
        <f>IF(ISERROR(VLOOKUP($T$130,'TAR FIN'!$A$1:$O$85,15,0)),0,VLOOKUP($T$130,'TAR FIN'!$A$1:$O$85,15,0))*(1-0.04)</f>
        <v>54.6432</v>
      </c>
      <c r="X130" s="52">
        <f>IF(ISERROR(VLOOKUP($U$130,'TAR FIN'!$A$1:$O$85,15,0)),0,VLOOKUP($U$130,'TAR FIN'!$A$1:$O$85,15,0))*(1-0.04)</f>
        <v>257.1936</v>
      </c>
      <c r="Y130" s="52"/>
      <c r="Z130" s="52">
        <f ca="1">('TUSD BE'!$AM$12+'TUSD BF'!$AM$12+'TUSD CVA'!$AM$12)*1*(1-0.02)</f>
        <v>98.144213445836201</v>
      </c>
      <c r="AA130" s="52">
        <f>('TE BE'!$AB$6+'TE BF'!$AB$6+'TE CVA'!$AB$6)*1*(1-0.02)</f>
        <v>181.71240751544846</v>
      </c>
      <c r="AB130" s="52">
        <f>(SUBSIDIO!$J$130*SUBSIDIO!$V$130)*(0.04)/(1-0.04)</f>
        <v>0</v>
      </c>
      <c r="AC130" s="52">
        <f>((SUBSIDIO!$L$130*SUBSIDIO!$W$130)+(SUBSIDIO!$N$130*SUBSIDIO!$X$130))*(0.04)/(1-0.04)</f>
        <v>933.1326444</v>
      </c>
      <c r="AD130" s="52">
        <f>(SUBSIDIO!$J$130*SUBSIDIO!$Y$130)*(0.02)/(1-0.02)</f>
        <v>0</v>
      </c>
      <c r="AE130" s="52">
        <f ca="1">((SUBSIDIO!$L$130*SUBSIDIO!$Z$130)+(SUBSIDIO!$N$130*SUBSIDIO!$AA$130))*(0.02)/(1-0.02)</f>
        <v>410.17271321584849</v>
      </c>
      <c r="AF130" s="3" t="s">
        <v>610</v>
      </c>
    </row>
    <row r="131" spans="1:32" ht="11.25" customHeight="1" x14ac:dyDescent="0.25">
      <c r="A131" s="3" t="s">
        <v>21</v>
      </c>
      <c r="B131" s="3" t="s">
        <v>35</v>
      </c>
      <c r="C131" s="3" t="s">
        <v>36</v>
      </c>
      <c r="D131" s="3" t="s">
        <v>41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44713</v>
      </c>
      <c r="J131" s="4">
        <v>0</v>
      </c>
      <c r="K131" s="52">
        <v>0</v>
      </c>
      <c r="L131" s="4">
        <v>86.54</v>
      </c>
      <c r="M131" s="52">
        <v>86.54</v>
      </c>
      <c r="N131" s="4">
        <v>86.54</v>
      </c>
      <c r="O131" s="52">
        <v>86.54</v>
      </c>
      <c r="P131" s="4">
        <v>0</v>
      </c>
      <c r="Q131" s="3" t="s">
        <v>26</v>
      </c>
      <c r="R131" s="3">
        <v>0</v>
      </c>
      <c r="S131" s="3">
        <v>0</v>
      </c>
      <c r="T131" s="3">
        <v>15</v>
      </c>
      <c r="U131" s="3">
        <v>67</v>
      </c>
      <c r="V131" s="52">
        <f>IF(ISERROR(VLOOKUP($S$131,'TAR FIN'!$A$1:$O$85,15,0)),0,VLOOKUP($S$131,'TAR FIN'!$A$1:$O$85,15,0))</f>
        <v>0</v>
      </c>
      <c r="W131" s="52">
        <f>IF(ISERROR(VLOOKUP($T$131,'TAR FIN'!$A$1:$O$85,15,0)),0,VLOOKUP($T$131,'TAR FIN'!$A$1:$O$85,15,0))*(1-0.04)</f>
        <v>54.6432</v>
      </c>
      <c r="X131" s="52">
        <f>IF(ISERROR(VLOOKUP($U$131,'TAR FIN'!$A$1:$O$85,15,0)),0,VLOOKUP($U$131,'TAR FIN'!$A$1:$O$85,15,0))*(1-0.04)</f>
        <v>257.1936</v>
      </c>
      <c r="Y131" s="52"/>
      <c r="Z131" s="52">
        <f ca="1">('TUSD BE'!$AM$12+'TUSD BF'!$AM$12+'TUSD CVA'!$AM$12)*1*(1-0.02)</f>
        <v>98.144213445836201</v>
      </c>
      <c r="AA131" s="52">
        <f>('TE BE'!$AB$6+'TE BF'!$AB$6+'TE CVA'!$AB$6)*1*(1-0.02)</f>
        <v>181.71240751544846</v>
      </c>
      <c r="AB131" s="52">
        <f>(SUBSIDIO!$J$131*SUBSIDIO!$V$131)*(0.04)/(1-0.04)</f>
        <v>0</v>
      </c>
      <c r="AC131" s="52">
        <f>((SUBSIDIO!$L$131*SUBSIDIO!$W$131)+(SUBSIDIO!$N$131*SUBSIDIO!$X$131))*(0.04)/(1-0.04)</f>
        <v>1124.4315280000001</v>
      </c>
      <c r="AD131" s="52">
        <f>(SUBSIDIO!$J$131*SUBSIDIO!$Y$131)*(0.02)/(1-0.02)</f>
        <v>0</v>
      </c>
      <c r="AE131" s="52">
        <f ca="1">((SUBSIDIO!$L$131*SUBSIDIO!$Z$131)+(SUBSIDIO!$N$131*SUBSIDIO!$AA$131))*(0.02)/(1-0.02)</f>
        <v>494.26106077529749</v>
      </c>
      <c r="AF131" s="3" t="s">
        <v>610</v>
      </c>
    </row>
    <row r="132" spans="1:32" ht="11.25" customHeight="1" x14ac:dyDescent="0.25">
      <c r="A132" s="3" t="s">
        <v>21</v>
      </c>
      <c r="B132" s="3" t="s">
        <v>35</v>
      </c>
      <c r="C132" s="3" t="s">
        <v>36</v>
      </c>
      <c r="D132" s="3" t="s">
        <v>41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44743</v>
      </c>
      <c r="J132" s="4">
        <v>0</v>
      </c>
      <c r="K132" s="52">
        <v>0</v>
      </c>
      <c r="L132" s="4">
        <v>71.212999999999994</v>
      </c>
      <c r="M132" s="52">
        <v>71.212999999999994</v>
      </c>
      <c r="N132" s="4">
        <v>71.212999999999994</v>
      </c>
      <c r="O132" s="52">
        <v>71.212999999999994</v>
      </c>
      <c r="P132" s="4">
        <v>0</v>
      </c>
      <c r="Q132" s="3" t="s">
        <v>26</v>
      </c>
      <c r="R132" s="3">
        <v>0</v>
      </c>
      <c r="S132" s="3">
        <v>0</v>
      </c>
      <c r="T132" s="3">
        <v>15</v>
      </c>
      <c r="U132" s="3">
        <v>67</v>
      </c>
      <c r="V132" s="52">
        <f>IF(ISERROR(VLOOKUP($S$132,'TAR FIN'!$A$1:$O$85,15,0)),0,VLOOKUP($S$132,'TAR FIN'!$A$1:$O$85,15,0))</f>
        <v>0</v>
      </c>
      <c r="W132" s="52">
        <f>IF(ISERROR(VLOOKUP($T$132,'TAR FIN'!$A$1:$O$85,15,0)),0,VLOOKUP($T$132,'TAR FIN'!$A$1:$O$85,15,0))*(1-0.04)</f>
        <v>54.6432</v>
      </c>
      <c r="X132" s="52">
        <f>IF(ISERROR(VLOOKUP($U$132,'TAR FIN'!$A$1:$O$85,15,0)),0,VLOOKUP($U$132,'TAR FIN'!$A$1:$O$85,15,0))*(1-0.04)</f>
        <v>257.1936</v>
      </c>
      <c r="Y132" s="52"/>
      <c r="Z132" s="52">
        <f ca="1">('TUSD BE'!$AM$12+'TUSD BF'!$AM$12+'TUSD CVA'!$AM$12)*1*(1-0.02)</f>
        <v>98.144213445836201</v>
      </c>
      <c r="AA132" s="52">
        <f>('TE BE'!$AB$6+'TE BF'!$AB$6+'TE CVA'!$AB$6)*1*(1-0.02)</f>
        <v>181.71240751544846</v>
      </c>
      <c r="AB132" s="52">
        <f>(SUBSIDIO!$J$132*SUBSIDIO!$V$132)*(0.04)/(1-0.04)</f>
        <v>0</v>
      </c>
      <c r="AC132" s="52">
        <f>((SUBSIDIO!$L$132*SUBSIDIO!$W$132)+(SUBSIDIO!$N$132*SUBSIDIO!$X$132))*(0.04)/(1-0.04)</f>
        <v>925.28475160000005</v>
      </c>
      <c r="AD132" s="52">
        <f>(SUBSIDIO!$J$132*SUBSIDIO!$Y$132)*(0.02)/(1-0.02)</f>
        <v>0</v>
      </c>
      <c r="AE132" s="52">
        <f ca="1">((SUBSIDIO!$L$132*SUBSIDIO!$Z$132)+(SUBSIDIO!$N$132*SUBSIDIO!$AA$132))*(0.02)/(1-0.02)</f>
        <v>406.7230520105299</v>
      </c>
      <c r="AF132" s="3" t="s">
        <v>610</v>
      </c>
    </row>
    <row r="133" spans="1:32" ht="11.25" customHeight="1" x14ac:dyDescent="0.25">
      <c r="A133" s="3" t="s">
        <v>21</v>
      </c>
      <c r="B133" s="3" t="s">
        <v>35</v>
      </c>
      <c r="C133" s="3" t="s">
        <v>36</v>
      </c>
      <c r="D133" s="3" t="s">
        <v>41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44774</v>
      </c>
      <c r="J133" s="4">
        <v>0</v>
      </c>
      <c r="K133" s="52">
        <v>0</v>
      </c>
      <c r="L133" s="4">
        <v>71.887</v>
      </c>
      <c r="M133" s="52">
        <v>71.887</v>
      </c>
      <c r="N133" s="4">
        <v>71.887</v>
      </c>
      <c r="O133" s="52">
        <v>71.887</v>
      </c>
      <c r="P133" s="4">
        <v>0</v>
      </c>
      <c r="Q133" s="3" t="s">
        <v>26</v>
      </c>
      <c r="R133" s="3">
        <v>0</v>
      </c>
      <c r="S133" s="3">
        <v>0</v>
      </c>
      <c r="T133" s="3">
        <v>15</v>
      </c>
      <c r="U133" s="3">
        <v>67</v>
      </c>
      <c r="V133" s="52">
        <f>IF(ISERROR(VLOOKUP($S$133,'TAR FIN'!$A$1:$O$85,15,0)),0,VLOOKUP($S$133,'TAR FIN'!$A$1:$O$85,15,0))</f>
        <v>0</v>
      </c>
      <c r="W133" s="52">
        <f>IF(ISERROR(VLOOKUP($T$133,'TAR FIN'!$A$1:$O$85,15,0)),0,VLOOKUP($T$133,'TAR FIN'!$A$1:$O$85,15,0))*(1-0.04)</f>
        <v>54.6432</v>
      </c>
      <c r="X133" s="52">
        <f>IF(ISERROR(VLOOKUP($U$133,'TAR FIN'!$A$1:$O$85,15,0)),0,VLOOKUP($U$133,'TAR FIN'!$A$1:$O$85,15,0))*(1-0.04)</f>
        <v>257.1936</v>
      </c>
      <c r="Y133" s="52"/>
      <c r="Z133" s="52">
        <f ca="1">('TUSD BE'!$AM$12+'TUSD BF'!$AM$12+'TUSD CVA'!$AM$12)*1*(1-0.02)</f>
        <v>98.144213445836201</v>
      </c>
      <c r="AA133" s="52">
        <f>('TE BE'!$AB$6+'TE BF'!$AB$6+'TE CVA'!$AB$6)*1*(1-0.02)</f>
        <v>181.71240751544846</v>
      </c>
      <c r="AB133" s="52">
        <f>(SUBSIDIO!$J$133*SUBSIDIO!$V$133)*(0.04)/(1-0.04)</f>
        <v>0</v>
      </c>
      <c r="AC133" s="52">
        <f>((SUBSIDIO!$L$133*SUBSIDIO!$W$133)+(SUBSIDIO!$N$133*SUBSIDIO!$X$133))*(0.04)/(1-0.04)</f>
        <v>934.04216840000015</v>
      </c>
      <c r="AD133" s="52">
        <f>(SUBSIDIO!$J$133*SUBSIDIO!$Y$133)*(0.02)/(1-0.02)</f>
        <v>0</v>
      </c>
      <c r="AE133" s="52">
        <f ca="1">((SUBSIDIO!$L$133*SUBSIDIO!$Z$133)+(SUBSIDIO!$N$133*SUBSIDIO!$AA$133))*(0.02)/(1-0.02)</f>
        <v>410.57250838865042</v>
      </c>
      <c r="AF133" s="3" t="s">
        <v>610</v>
      </c>
    </row>
    <row r="134" spans="1:32" ht="11.25" customHeight="1" x14ac:dyDescent="0.25">
      <c r="A134" s="3" t="s">
        <v>21</v>
      </c>
      <c r="B134" s="3" t="s">
        <v>35</v>
      </c>
      <c r="C134" s="3" t="s">
        <v>36</v>
      </c>
      <c r="D134" s="3" t="s">
        <v>41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283</v>
      </c>
      <c r="K134" s="52">
        <v>283</v>
      </c>
      <c r="L134" s="4">
        <v>0</v>
      </c>
      <c r="M134" s="52">
        <v>0</v>
      </c>
      <c r="N134" s="4">
        <v>0</v>
      </c>
      <c r="O134" s="52">
        <v>0</v>
      </c>
      <c r="P134" s="4">
        <v>3</v>
      </c>
      <c r="Q134" s="3" t="s">
        <v>26</v>
      </c>
      <c r="R134" s="3">
        <v>0</v>
      </c>
      <c r="S134" s="3">
        <v>22</v>
      </c>
      <c r="T134" s="3">
        <v>0</v>
      </c>
      <c r="U134" s="3">
        <v>0</v>
      </c>
      <c r="V134" s="52">
        <f>IF(ISERROR(VLOOKUP($S$134,'TAR FIN'!$A$1:$O$85,15,0)),0,VLOOKUP($S$134,'TAR FIN'!$A$1:$O$85,15,0))*(1-0.04)</f>
        <v>21.446400000000001</v>
      </c>
      <c r="W134" s="52">
        <f>IF(ISERROR(VLOOKUP($T$134,'TAR FIN'!$A$1:$O$85,15,0)),0,VLOOKUP($T$134,'TAR FIN'!$A$1:$O$85,15,0))</f>
        <v>0</v>
      </c>
      <c r="X134" s="52">
        <f>IF(ISERROR(VLOOKUP($U$134,'TAR FIN'!$A$1:$O$85,15,0)),0,VLOOKUP($U$134,'TAR FIN'!$A$1:$O$85,15,0))</f>
        <v>0</v>
      </c>
      <c r="Y134" s="52">
        <f ca="1">('TUSD BE'!$AM$10+'TUSD BF'!$AM$10+'TUSD CVA'!$AM$10)*1*(1-0.02)</f>
        <v>27.47945129896609</v>
      </c>
      <c r="Z134" s="52"/>
      <c r="AA134" s="52"/>
      <c r="AB134" s="52">
        <f>(SUBSIDIO!$J$134*SUBSIDIO!$V$134)*(0.04)/(1-0.04)</f>
        <v>252.88880000000003</v>
      </c>
      <c r="AC134" s="52">
        <f>((SUBSIDIO!$L$134*SUBSIDIO!$W$134)+(SUBSIDIO!$N$134*SUBSIDIO!$X$134))*(0.04)/(1-0.04)</f>
        <v>0</v>
      </c>
      <c r="AD134" s="52">
        <f ca="1">(SUBSIDIO!$J$134*SUBSIDIO!$Y$134)*(0.02)/(1-0.02)</f>
        <v>158.70785137974295</v>
      </c>
      <c r="AE134" s="52">
        <f>((SUBSIDIO!$L$134*SUBSIDIO!$Z$134)+(SUBSIDIO!$N$134*SUBSIDIO!$AA$134))*(0.02)/(1-0.02)</f>
        <v>0</v>
      </c>
      <c r="AF134" s="3" t="s">
        <v>610</v>
      </c>
    </row>
    <row r="135" spans="1:32" ht="11.25" customHeight="1" x14ac:dyDescent="0.25">
      <c r="A135" s="3" t="s">
        <v>21</v>
      </c>
      <c r="B135" s="3" t="s">
        <v>35</v>
      </c>
      <c r="C135" s="3" t="s">
        <v>36</v>
      </c>
      <c r="D135" s="3" t="s">
        <v>41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44470</v>
      </c>
      <c r="J135" s="4">
        <v>240</v>
      </c>
      <c r="K135" s="52">
        <v>240</v>
      </c>
      <c r="L135" s="4">
        <v>0</v>
      </c>
      <c r="M135" s="52">
        <v>0</v>
      </c>
      <c r="N135" s="4">
        <v>0</v>
      </c>
      <c r="O135" s="52">
        <v>0</v>
      </c>
      <c r="P135" s="4">
        <v>3</v>
      </c>
      <c r="Q135" s="3" t="s">
        <v>26</v>
      </c>
      <c r="R135" s="3">
        <v>0</v>
      </c>
      <c r="S135" s="3">
        <v>22</v>
      </c>
      <c r="T135" s="3">
        <v>0</v>
      </c>
      <c r="U135" s="3">
        <v>0</v>
      </c>
      <c r="V135" s="52">
        <f>IF(ISERROR(VLOOKUP($S$135,'TAR FIN'!$A$1:$O$85,15,0)),0,VLOOKUP($S$135,'TAR FIN'!$A$1:$O$85,15,0))*(1-0.04)</f>
        <v>21.446400000000001</v>
      </c>
      <c r="W135" s="52">
        <f>IF(ISERROR(VLOOKUP($T$135,'TAR FIN'!$A$1:$O$85,15,0)),0,VLOOKUP($T$135,'TAR FIN'!$A$1:$O$85,15,0))</f>
        <v>0</v>
      </c>
      <c r="X135" s="52">
        <f>IF(ISERROR(VLOOKUP($U$135,'TAR FIN'!$A$1:$O$85,15,0)),0,VLOOKUP($U$135,'TAR FIN'!$A$1:$O$85,15,0))</f>
        <v>0</v>
      </c>
      <c r="Y135" s="52">
        <f ca="1">('TUSD BE'!$AM$10+'TUSD BF'!$AM$10+'TUSD CVA'!$AM$10)*1*(1-0.02)</f>
        <v>27.47945129896609</v>
      </c>
      <c r="Z135" s="52"/>
      <c r="AA135" s="52"/>
      <c r="AB135" s="52">
        <f>(SUBSIDIO!$J$135*SUBSIDIO!$V$135)*(0.04)/(1-0.04)</f>
        <v>214.46400000000003</v>
      </c>
      <c r="AC135" s="52">
        <f>((SUBSIDIO!$L$135*SUBSIDIO!$W$135)+(SUBSIDIO!$N$135*SUBSIDIO!$X$135))*(0.04)/(1-0.04)</f>
        <v>0</v>
      </c>
      <c r="AD135" s="52">
        <f ca="1">(SUBSIDIO!$J$135*SUBSIDIO!$Y$135)*(0.02)/(1-0.02)</f>
        <v>134.59323085207882</v>
      </c>
      <c r="AE135" s="52">
        <f>((SUBSIDIO!$L$135*SUBSIDIO!$Z$135)+(SUBSIDIO!$N$135*SUBSIDIO!$AA$135))*(0.02)/(1-0.02)</f>
        <v>0</v>
      </c>
      <c r="AF135" s="3" t="s">
        <v>610</v>
      </c>
    </row>
    <row r="136" spans="1:32" ht="11.25" customHeight="1" x14ac:dyDescent="0.25">
      <c r="A136" s="3" t="s">
        <v>21</v>
      </c>
      <c r="B136" s="3" t="s">
        <v>35</v>
      </c>
      <c r="C136" s="3" t="s">
        <v>36</v>
      </c>
      <c r="D136" s="3" t="s">
        <v>41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44501</v>
      </c>
      <c r="J136" s="4">
        <v>748</v>
      </c>
      <c r="K136" s="52">
        <v>748</v>
      </c>
      <c r="L136" s="4">
        <v>0</v>
      </c>
      <c r="M136" s="52">
        <v>0</v>
      </c>
      <c r="N136" s="4">
        <v>0</v>
      </c>
      <c r="O136" s="52">
        <v>0</v>
      </c>
      <c r="P136" s="4">
        <v>3</v>
      </c>
      <c r="Q136" s="3" t="s">
        <v>26</v>
      </c>
      <c r="R136" s="3">
        <v>0</v>
      </c>
      <c r="S136" s="3">
        <v>22</v>
      </c>
      <c r="T136" s="3">
        <v>0</v>
      </c>
      <c r="U136" s="3">
        <v>0</v>
      </c>
      <c r="V136" s="52">
        <f>IF(ISERROR(VLOOKUP($S$136,'TAR FIN'!$A$1:$O$85,15,0)),0,VLOOKUP($S$136,'TAR FIN'!$A$1:$O$85,15,0))*(1-0.04)</f>
        <v>21.446400000000001</v>
      </c>
      <c r="W136" s="52">
        <f>IF(ISERROR(VLOOKUP($T$136,'TAR FIN'!$A$1:$O$85,15,0)),0,VLOOKUP($T$136,'TAR FIN'!$A$1:$O$85,15,0))</f>
        <v>0</v>
      </c>
      <c r="X136" s="52">
        <f>IF(ISERROR(VLOOKUP($U$136,'TAR FIN'!$A$1:$O$85,15,0)),0,VLOOKUP($U$136,'TAR FIN'!$A$1:$O$85,15,0))</f>
        <v>0</v>
      </c>
      <c r="Y136" s="52">
        <f ca="1">('TUSD BE'!$AM$10+'TUSD BF'!$AM$10+'TUSD CVA'!$AM$10)*1*(1-0.02)</f>
        <v>27.47945129896609</v>
      </c>
      <c r="Z136" s="52"/>
      <c r="AA136" s="52"/>
      <c r="AB136" s="52">
        <f>(SUBSIDIO!$J$136*SUBSIDIO!$V$136)*(0.04)/(1-0.04)</f>
        <v>668.41280000000006</v>
      </c>
      <c r="AC136" s="52">
        <f>((SUBSIDIO!$L$136*SUBSIDIO!$W$136)+(SUBSIDIO!$N$136*SUBSIDIO!$X$136))*(0.04)/(1-0.04)</f>
        <v>0</v>
      </c>
      <c r="AD136" s="52">
        <f ca="1">(SUBSIDIO!$J$136*SUBSIDIO!$Y$136)*(0.02)/(1-0.02)</f>
        <v>419.48223615564564</v>
      </c>
      <c r="AE136" s="52">
        <f>((SUBSIDIO!$L$136*SUBSIDIO!$Z$136)+(SUBSIDIO!$N$136*SUBSIDIO!$AA$136))*(0.02)/(1-0.02)</f>
        <v>0</v>
      </c>
      <c r="AF136" s="3" t="s">
        <v>610</v>
      </c>
    </row>
    <row r="137" spans="1:32" ht="11.25" customHeight="1" x14ac:dyDescent="0.25">
      <c r="A137" s="3" t="s">
        <v>21</v>
      </c>
      <c r="B137" s="3" t="s">
        <v>35</v>
      </c>
      <c r="C137" s="3" t="s">
        <v>36</v>
      </c>
      <c r="D137" s="3" t="s">
        <v>41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44531</v>
      </c>
      <c r="J137" s="4">
        <v>176</v>
      </c>
      <c r="K137" s="52">
        <v>176</v>
      </c>
      <c r="L137" s="4">
        <v>0</v>
      </c>
      <c r="M137" s="52">
        <v>0</v>
      </c>
      <c r="N137" s="4">
        <v>0</v>
      </c>
      <c r="O137" s="52">
        <v>0</v>
      </c>
      <c r="P137" s="4">
        <v>3</v>
      </c>
      <c r="Q137" s="3" t="s">
        <v>26</v>
      </c>
      <c r="R137" s="3">
        <v>0</v>
      </c>
      <c r="S137" s="3">
        <v>22</v>
      </c>
      <c r="T137" s="3">
        <v>0</v>
      </c>
      <c r="U137" s="3">
        <v>0</v>
      </c>
      <c r="V137" s="52">
        <f>IF(ISERROR(VLOOKUP($S$137,'TAR FIN'!$A$1:$O$85,15,0)),0,VLOOKUP($S$137,'TAR FIN'!$A$1:$O$85,15,0))*(1-0.04)</f>
        <v>21.446400000000001</v>
      </c>
      <c r="W137" s="52">
        <f>IF(ISERROR(VLOOKUP($T$137,'TAR FIN'!$A$1:$O$85,15,0)),0,VLOOKUP($T$137,'TAR FIN'!$A$1:$O$85,15,0))</f>
        <v>0</v>
      </c>
      <c r="X137" s="52">
        <f>IF(ISERROR(VLOOKUP($U$137,'TAR FIN'!$A$1:$O$85,15,0)),0,VLOOKUP($U$137,'TAR FIN'!$A$1:$O$85,15,0))</f>
        <v>0</v>
      </c>
      <c r="Y137" s="52">
        <f ca="1">('TUSD BE'!$AM$10+'TUSD BF'!$AM$10+'TUSD CVA'!$AM$10)*1*(1-0.02)</f>
        <v>27.47945129896609</v>
      </c>
      <c r="Z137" s="52"/>
      <c r="AA137" s="52"/>
      <c r="AB137" s="52">
        <f>(SUBSIDIO!$J$137*SUBSIDIO!$V$137)*(0.04)/(1-0.04)</f>
        <v>157.27360000000002</v>
      </c>
      <c r="AC137" s="52">
        <f>((SUBSIDIO!$L$137*SUBSIDIO!$W$137)+(SUBSIDIO!$N$137*SUBSIDIO!$X$137))*(0.04)/(1-0.04)</f>
        <v>0</v>
      </c>
      <c r="AD137" s="52">
        <f ca="1">(SUBSIDIO!$J$137*SUBSIDIO!$Y$137)*(0.02)/(1-0.02)</f>
        <v>98.701702624857802</v>
      </c>
      <c r="AE137" s="52">
        <f>((SUBSIDIO!$L$137*SUBSIDIO!$Z$137)+(SUBSIDIO!$N$137*SUBSIDIO!$AA$137))*(0.02)/(1-0.02)</f>
        <v>0</v>
      </c>
      <c r="AF137" s="3" t="s">
        <v>610</v>
      </c>
    </row>
    <row r="138" spans="1:32" ht="11.25" customHeight="1" x14ac:dyDescent="0.25">
      <c r="A138" s="3" t="s">
        <v>21</v>
      </c>
      <c r="B138" s="3" t="s">
        <v>35</v>
      </c>
      <c r="C138" s="3" t="s">
        <v>36</v>
      </c>
      <c r="D138" s="3" t="s">
        <v>41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44562</v>
      </c>
      <c r="J138" s="4">
        <v>147</v>
      </c>
      <c r="K138" s="52">
        <v>147</v>
      </c>
      <c r="L138" s="4">
        <v>0</v>
      </c>
      <c r="M138" s="52">
        <v>0</v>
      </c>
      <c r="N138" s="4">
        <v>0</v>
      </c>
      <c r="O138" s="52">
        <v>0</v>
      </c>
      <c r="P138" s="4">
        <v>3</v>
      </c>
      <c r="Q138" s="3" t="s">
        <v>26</v>
      </c>
      <c r="R138" s="3">
        <v>0</v>
      </c>
      <c r="S138" s="3">
        <v>22</v>
      </c>
      <c r="T138" s="3">
        <v>0</v>
      </c>
      <c r="U138" s="3">
        <v>0</v>
      </c>
      <c r="V138" s="52">
        <f>IF(ISERROR(VLOOKUP($S$138,'TAR FIN'!$A$1:$O$85,15,0)),0,VLOOKUP($S$138,'TAR FIN'!$A$1:$O$85,15,0))*(1-0.04)</f>
        <v>21.446400000000001</v>
      </c>
      <c r="W138" s="52">
        <f>IF(ISERROR(VLOOKUP($T$138,'TAR FIN'!$A$1:$O$85,15,0)),0,VLOOKUP($T$138,'TAR FIN'!$A$1:$O$85,15,0))</f>
        <v>0</v>
      </c>
      <c r="X138" s="52">
        <f>IF(ISERROR(VLOOKUP($U$138,'TAR FIN'!$A$1:$O$85,15,0)),0,VLOOKUP($U$138,'TAR FIN'!$A$1:$O$85,15,0))</f>
        <v>0</v>
      </c>
      <c r="Y138" s="52">
        <f ca="1">('TUSD BE'!$AM$10+'TUSD BF'!$AM$10+'TUSD CVA'!$AM$10)*1*(1-0.02)</f>
        <v>27.47945129896609</v>
      </c>
      <c r="Z138" s="52"/>
      <c r="AA138" s="52"/>
      <c r="AB138" s="52">
        <f>(SUBSIDIO!$J$138*SUBSIDIO!$V$138)*(0.04)/(1-0.04)</f>
        <v>131.35920000000002</v>
      </c>
      <c r="AC138" s="52">
        <f>((SUBSIDIO!$L$138*SUBSIDIO!$W$138)+(SUBSIDIO!$N$138*SUBSIDIO!$X$138))*(0.04)/(1-0.04)</f>
        <v>0</v>
      </c>
      <c r="AD138" s="52">
        <f ca="1">(SUBSIDIO!$J$138*SUBSIDIO!$Y$138)*(0.02)/(1-0.02)</f>
        <v>82.438353896898263</v>
      </c>
      <c r="AE138" s="52">
        <f>((SUBSIDIO!$L$138*SUBSIDIO!$Z$138)+(SUBSIDIO!$N$138*SUBSIDIO!$AA$138))*(0.02)/(1-0.02)</f>
        <v>0</v>
      </c>
      <c r="AF138" s="3" t="s">
        <v>610</v>
      </c>
    </row>
    <row r="139" spans="1:32" ht="11.25" customHeight="1" x14ac:dyDescent="0.25">
      <c r="A139" s="3" t="s">
        <v>21</v>
      </c>
      <c r="B139" s="3" t="s">
        <v>35</v>
      </c>
      <c r="C139" s="3" t="s">
        <v>36</v>
      </c>
      <c r="D139" s="3" t="s">
        <v>41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44593</v>
      </c>
      <c r="J139" s="4">
        <v>158</v>
      </c>
      <c r="K139" s="52">
        <v>158</v>
      </c>
      <c r="L139" s="4">
        <v>0</v>
      </c>
      <c r="M139" s="52">
        <v>0</v>
      </c>
      <c r="N139" s="4">
        <v>0</v>
      </c>
      <c r="O139" s="52">
        <v>0</v>
      </c>
      <c r="P139" s="4">
        <v>3</v>
      </c>
      <c r="Q139" s="3" t="s">
        <v>26</v>
      </c>
      <c r="R139" s="3">
        <v>0</v>
      </c>
      <c r="S139" s="3">
        <v>22</v>
      </c>
      <c r="T139" s="3">
        <v>0</v>
      </c>
      <c r="U139" s="3">
        <v>0</v>
      </c>
      <c r="V139" s="52">
        <f>IF(ISERROR(VLOOKUP($S$139,'TAR FIN'!$A$1:$O$85,15,0)),0,VLOOKUP($S$139,'TAR FIN'!$A$1:$O$85,15,0))*(1-0.04)</f>
        <v>21.446400000000001</v>
      </c>
      <c r="W139" s="52">
        <f>IF(ISERROR(VLOOKUP($T$139,'TAR FIN'!$A$1:$O$85,15,0)),0,VLOOKUP($T$139,'TAR FIN'!$A$1:$O$85,15,0))</f>
        <v>0</v>
      </c>
      <c r="X139" s="52">
        <f>IF(ISERROR(VLOOKUP($U$139,'TAR FIN'!$A$1:$O$85,15,0)),0,VLOOKUP($U$139,'TAR FIN'!$A$1:$O$85,15,0))</f>
        <v>0</v>
      </c>
      <c r="Y139" s="52">
        <f ca="1">('TUSD BE'!$AM$10+'TUSD BF'!$AM$10+'TUSD CVA'!$AM$10)*1*(1-0.02)</f>
        <v>27.47945129896609</v>
      </c>
      <c r="Z139" s="52"/>
      <c r="AA139" s="52"/>
      <c r="AB139" s="52">
        <f>(SUBSIDIO!$J$139*SUBSIDIO!$V$139)*(0.04)/(1-0.04)</f>
        <v>141.18880000000001</v>
      </c>
      <c r="AC139" s="52">
        <f>((SUBSIDIO!$L$139*SUBSIDIO!$W$139)+(SUBSIDIO!$N$139*SUBSIDIO!$X$139))*(0.04)/(1-0.04)</f>
        <v>0</v>
      </c>
      <c r="AD139" s="52">
        <f ca="1">(SUBSIDIO!$J$139*SUBSIDIO!$Y$139)*(0.02)/(1-0.02)</f>
        <v>88.607210310951885</v>
      </c>
      <c r="AE139" s="52">
        <f>((SUBSIDIO!$L$139*SUBSIDIO!$Z$139)+(SUBSIDIO!$N$139*SUBSIDIO!$AA$139))*(0.02)/(1-0.02)</f>
        <v>0</v>
      </c>
      <c r="AF139" s="3" t="s">
        <v>610</v>
      </c>
    </row>
    <row r="140" spans="1:32" ht="11.25" customHeight="1" x14ac:dyDescent="0.25">
      <c r="A140" s="3" t="s">
        <v>21</v>
      </c>
      <c r="B140" s="3" t="s">
        <v>35</v>
      </c>
      <c r="C140" s="3" t="s">
        <v>36</v>
      </c>
      <c r="D140" s="3" t="s">
        <v>41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44621</v>
      </c>
      <c r="J140" s="4">
        <v>158</v>
      </c>
      <c r="K140" s="52">
        <v>158</v>
      </c>
      <c r="L140" s="4">
        <v>0</v>
      </c>
      <c r="M140" s="52">
        <v>0</v>
      </c>
      <c r="N140" s="4">
        <v>0</v>
      </c>
      <c r="O140" s="52">
        <v>0</v>
      </c>
      <c r="P140" s="4">
        <v>3</v>
      </c>
      <c r="Q140" s="3" t="s">
        <v>26</v>
      </c>
      <c r="R140" s="3">
        <v>0</v>
      </c>
      <c r="S140" s="3">
        <v>22</v>
      </c>
      <c r="T140" s="3">
        <v>0</v>
      </c>
      <c r="U140" s="3">
        <v>0</v>
      </c>
      <c r="V140" s="52">
        <f>IF(ISERROR(VLOOKUP($S$140,'TAR FIN'!$A$1:$O$85,15,0)),0,VLOOKUP($S$140,'TAR FIN'!$A$1:$O$85,15,0))*(1-0.04)</f>
        <v>21.446400000000001</v>
      </c>
      <c r="W140" s="52">
        <f>IF(ISERROR(VLOOKUP($T$140,'TAR FIN'!$A$1:$O$85,15,0)),0,VLOOKUP($T$140,'TAR FIN'!$A$1:$O$85,15,0))</f>
        <v>0</v>
      </c>
      <c r="X140" s="52">
        <f>IF(ISERROR(VLOOKUP($U$140,'TAR FIN'!$A$1:$O$85,15,0)),0,VLOOKUP($U$140,'TAR FIN'!$A$1:$O$85,15,0))</f>
        <v>0</v>
      </c>
      <c r="Y140" s="52">
        <f ca="1">('TUSD BE'!$AM$10+'TUSD BF'!$AM$10+'TUSD CVA'!$AM$10)*1*(1-0.02)</f>
        <v>27.47945129896609</v>
      </c>
      <c r="Z140" s="52"/>
      <c r="AA140" s="52"/>
      <c r="AB140" s="52">
        <f>(SUBSIDIO!$J$140*SUBSIDIO!$V$140)*(0.04)/(1-0.04)</f>
        <v>141.18880000000001</v>
      </c>
      <c r="AC140" s="52">
        <f>((SUBSIDIO!$L$140*SUBSIDIO!$W$140)+(SUBSIDIO!$N$140*SUBSIDIO!$X$140))*(0.04)/(1-0.04)</f>
        <v>0</v>
      </c>
      <c r="AD140" s="52">
        <f ca="1">(SUBSIDIO!$J$140*SUBSIDIO!$Y$140)*(0.02)/(1-0.02)</f>
        <v>88.607210310951885</v>
      </c>
      <c r="AE140" s="52">
        <f>((SUBSIDIO!$L$140*SUBSIDIO!$Z$140)+(SUBSIDIO!$N$140*SUBSIDIO!$AA$140))*(0.02)/(1-0.02)</f>
        <v>0</v>
      </c>
      <c r="AF140" s="3" t="s">
        <v>610</v>
      </c>
    </row>
    <row r="141" spans="1:32" ht="11.25" customHeight="1" x14ac:dyDescent="0.25">
      <c r="A141" s="3" t="s">
        <v>21</v>
      </c>
      <c r="B141" s="3" t="s">
        <v>35</v>
      </c>
      <c r="C141" s="3" t="s">
        <v>36</v>
      </c>
      <c r="D141" s="3" t="s">
        <v>41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44652</v>
      </c>
      <c r="J141" s="4">
        <v>151</v>
      </c>
      <c r="K141" s="52">
        <v>151</v>
      </c>
      <c r="L141" s="4">
        <v>0</v>
      </c>
      <c r="M141" s="52">
        <v>0</v>
      </c>
      <c r="N141" s="4">
        <v>0</v>
      </c>
      <c r="O141" s="52">
        <v>0</v>
      </c>
      <c r="P141" s="4">
        <v>3</v>
      </c>
      <c r="Q141" s="3" t="s">
        <v>26</v>
      </c>
      <c r="R141" s="3">
        <v>0</v>
      </c>
      <c r="S141" s="3">
        <v>22</v>
      </c>
      <c r="T141" s="3">
        <v>0</v>
      </c>
      <c r="U141" s="3">
        <v>0</v>
      </c>
      <c r="V141" s="52">
        <f>IF(ISERROR(VLOOKUP($S$141,'TAR FIN'!$A$1:$O$85,15,0)),0,VLOOKUP($S$141,'TAR FIN'!$A$1:$O$85,15,0))*(1-0.04)</f>
        <v>21.446400000000001</v>
      </c>
      <c r="W141" s="52">
        <f>IF(ISERROR(VLOOKUP($T$141,'TAR FIN'!$A$1:$O$85,15,0)),0,VLOOKUP($T$141,'TAR FIN'!$A$1:$O$85,15,0))</f>
        <v>0</v>
      </c>
      <c r="X141" s="52">
        <f>IF(ISERROR(VLOOKUP($U$141,'TAR FIN'!$A$1:$O$85,15,0)),0,VLOOKUP($U$141,'TAR FIN'!$A$1:$O$85,15,0))</f>
        <v>0</v>
      </c>
      <c r="Y141" s="52">
        <f ca="1">('TUSD BE'!$AM$10+'TUSD BF'!$AM$10+'TUSD CVA'!$AM$10)*1*(1-0.02)</f>
        <v>27.47945129896609</v>
      </c>
      <c r="Z141" s="52"/>
      <c r="AA141" s="52"/>
      <c r="AB141" s="52">
        <f>(SUBSIDIO!$J$141*SUBSIDIO!$V$141)*(0.04)/(1-0.04)</f>
        <v>134.93360000000001</v>
      </c>
      <c r="AC141" s="52">
        <f>((SUBSIDIO!$L$141*SUBSIDIO!$W$141)+(SUBSIDIO!$N$141*SUBSIDIO!$X$141))*(0.04)/(1-0.04)</f>
        <v>0</v>
      </c>
      <c r="AD141" s="52">
        <f ca="1">(SUBSIDIO!$J$141*SUBSIDIO!$Y$141)*(0.02)/(1-0.02)</f>
        <v>84.681574411099589</v>
      </c>
      <c r="AE141" s="52">
        <f>((SUBSIDIO!$L$141*SUBSIDIO!$Z$141)+(SUBSIDIO!$N$141*SUBSIDIO!$AA$141))*(0.02)/(1-0.02)</f>
        <v>0</v>
      </c>
      <c r="AF141" s="3" t="s">
        <v>610</v>
      </c>
    </row>
    <row r="142" spans="1:32" ht="11.25" customHeight="1" x14ac:dyDescent="0.25">
      <c r="A142" s="3" t="s">
        <v>21</v>
      </c>
      <c r="B142" s="3" t="s">
        <v>35</v>
      </c>
      <c r="C142" s="3" t="s">
        <v>36</v>
      </c>
      <c r="D142" s="3" t="s">
        <v>41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44682</v>
      </c>
      <c r="J142" s="4">
        <v>465</v>
      </c>
      <c r="K142" s="52">
        <v>465</v>
      </c>
      <c r="L142" s="4">
        <v>0</v>
      </c>
      <c r="M142" s="52">
        <v>0</v>
      </c>
      <c r="N142" s="4">
        <v>0</v>
      </c>
      <c r="O142" s="52">
        <v>0</v>
      </c>
      <c r="P142" s="4">
        <v>3</v>
      </c>
      <c r="Q142" s="3" t="s">
        <v>26</v>
      </c>
      <c r="R142" s="3">
        <v>0</v>
      </c>
      <c r="S142" s="3">
        <v>22</v>
      </c>
      <c r="T142" s="3">
        <v>0</v>
      </c>
      <c r="U142" s="3">
        <v>0</v>
      </c>
      <c r="V142" s="52">
        <f>IF(ISERROR(VLOOKUP($S$142,'TAR FIN'!$A$1:$O$85,15,0)),0,VLOOKUP($S$142,'TAR FIN'!$A$1:$O$85,15,0))*(1-0.04)</f>
        <v>21.446400000000001</v>
      </c>
      <c r="W142" s="52">
        <f>IF(ISERROR(VLOOKUP($T$142,'TAR FIN'!$A$1:$O$85,15,0)),0,VLOOKUP($T$142,'TAR FIN'!$A$1:$O$85,15,0))</f>
        <v>0</v>
      </c>
      <c r="X142" s="52">
        <f>IF(ISERROR(VLOOKUP($U$142,'TAR FIN'!$A$1:$O$85,15,0)),0,VLOOKUP($U$142,'TAR FIN'!$A$1:$O$85,15,0))</f>
        <v>0</v>
      </c>
      <c r="Y142" s="52">
        <f ca="1">('TUSD BE'!$AM$10+'TUSD BF'!$AM$10+'TUSD CVA'!$AM$10)*1*(1-0.02)</f>
        <v>27.47945129896609</v>
      </c>
      <c r="Z142" s="52"/>
      <c r="AA142" s="52"/>
      <c r="AB142" s="52">
        <f>(SUBSIDIO!$J$142*SUBSIDIO!$V$142)*(0.04)/(1-0.04)</f>
        <v>415.52400000000006</v>
      </c>
      <c r="AC142" s="52">
        <f>((SUBSIDIO!$L$142*SUBSIDIO!$W$142)+(SUBSIDIO!$N$142*SUBSIDIO!$X$142))*(0.04)/(1-0.04)</f>
        <v>0</v>
      </c>
      <c r="AD142" s="52">
        <f ca="1">(SUBSIDIO!$J$142*SUBSIDIO!$Y$142)*(0.02)/(1-0.02)</f>
        <v>260.77438477590272</v>
      </c>
      <c r="AE142" s="52">
        <f>((SUBSIDIO!$L$142*SUBSIDIO!$Z$142)+(SUBSIDIO!$N$142*SUBSIDIO!$AA$142))*(0.02)/(1-0.02)</f>
        <v>0</v>
      </c>
      <c r="AF142" s="3" t="s">
        <v>610</v>
      </c>
    </row>
    <row r="143" spans="1:32" ht="11.25" customHeight="1" x14ac:dyDescent="0.25">
      <c r="A143" s="3" t="s">
        <v>21</v>
      </c>
      <c r="B143" s="3" t="s">
        <v>35</v>
      </c>
      <c r="C143" s="3" t="s">
        <v>36</v>
      </c>
      <c r="D143" s="3" t="s">
        <v>41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44713</v>
      </c>
      <c r="J143" s="4">
        <v>260</v>
      </c>
      <c r="K143" s="52">
        <v>260</v>
      </c>
      <c r="L143" s="4">
        <v>0</v>
      </c>
      <c r="M143" s="52">
        <v>0</v>
      </c>
      <c r="N143" s="4">
        <v>0</v>
      </c>
      <c r="O143" s="52">
        <v>0</v>
      </c>
      <c r="P143" s="4">
        <v>3</v>
      </c>
      <c r="Q143" s="3" t="s">
        <v>26</v>
      </c>
      <c r="R143" s="3">
        <v>0</v>
      </c>
      <c r="S143" s="3">
        <v>22</v>
      </c>
      <c r="T143" s="3">
        <v>0</v>
      </c>
      <c r="U143" s="3">
        <v>0</v>
      </c>
      <c r="V143" s="52">
        <f>IF(ISERROR(VLOOKUP($S$143,'TAR FIN'!$A$1:$O$85,15,0)),0,VLOOKUP($S$143,'TAR FIN'!$A$1:$O$85,15,0))*(1-0.04)</f>
        <v>21.446400000000001</v>
      </c>
      <c r="W143" s="52">
        <f>IF(ISERROR(VLOOKUP($T$143,'TAR FIN'!$A$1:$O$85,15,0)),0,VLOOKUP($T$143,'TAR FIN'!$A$1:$O$85,15,0))</f>
        <v>0</v>
      </c>
      <c r="X143" s="52">
        <f>IF(ISERROR(VLOOKUP($U$143,'TAR FIN'!$A$1:$O$85,15,0)),0,VLOOKUP($U$143,'TAR FIN'!$A$1:$O$85,15,0))</f>
        <v>0</v>
      </c>
      <c r="Y143" s="52">
        <f ca="1">('TUSD BE'!$AM$10+'TUSD BF'!$AM$10+'TUSD CVA'!$AM$10)*1*(1-0.02)</f>
        <v>27.47945129896609</v>
      </c>
      <c r="Z143" s="52"/>
      <c r="AA143" s="52"/>
      <c r="AB143" s="52">
        <f>(SUBSIDIO!$J$143*SUBSIDIO!$V$143)*(0.04)/(1-0.04)</f>
        <v>232.33600000000001</v>
      </c>
      <c r="AC143" s="52">
        <f>((SUBSIDIO!$L$143*SUBSIDIO!$W$143)+(SUBSIDIO!$N$143*SUBSIDIO!$X$143))*(0.04)/(1-0.04)</f>
        <v>0</v>
      </c>
      <c r="AD143" s="52">
        <f ca="1">(SUBSIDIO!$J$143*SUBSIDIO!$Y$143)*(0.02)/(1-0.02)</f>
        <v>145.80933342308538</v>
      </c>
      <c r="AE143" s="52">
        <f>((SUBSIDIO!$L$143*SUBSIDIO!$Z$143)+(SUBSIDIO!$N$143*SUBSIDIO!$AA$143))*(0.02)/(1-0.02)</f>
        <v>0</v>
      </c>
      <c r="AF143" s="3" t="s">
        <v>610</v>
      </c>
    </row>
    <row r="144" spans="1:32" ht="11.25" customHeight="1" x14ac:dyDescent="0.25">
      <c r="A144" s="3" t="s">
        <v>21</v>
      </c>
      <c r="B144" s="3" t="s">
        <v>35</v>
      </c>
      <c r="C144" s="3" t="s">
        <v>36</v>
      </c>
      <c r="D144" s="3" t="s">
        <v>41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44743</v>
      </c>
      <c r="J144" s="4">
        <v>237</v>
      </c>
      <c r="K144" s="52">
        <v>237</v>
      </c>
      <c r="L144" s="4">
        <v>0</v>
      </c>
      <c r="M144" s="52">
        <v>0</v>
      </c>
      <c r="N144" s="4">
        <v>0</v>
      </c>
      <c r="O144" s="52">
        <v>0</v>
      </c>
      <c r="P144" s="4">
        <v>3</v>
      </c>
      <c r="Q144" s="3" t="s">
        <v>26</v>
      </c>
      <c r="R144" s="3">
        <v>0</v>
      </c>
      <c r="S144" s="3">
        <v>22</v>
      </c>
      <c r="T144" s="3">
        <v>0</v>
      </c>
      <c r="U144" s="3">
        <v>0</v>
      </c>
      <c r="V144" s="52">
        <f>IF(ISERROR(VLOOKUP($S$144,'TAR FIN'!$A$1:$O$85,15,0)),0,VLOOKUP($S$144,'TAR FIN'!$A$1:$O$85,15,0))*(1-0.04)</f>
        <v>21.446400000000001</v>
      </c>
      <c r="W144" s="52">
        <f>IF(ISERROR(VLOOKUP($T$144,'TAR FIN'!$A$1:$O$85,15,0)),0,VLOOKUP($T$144,'TAR FIN'!$A$1:$O$85,15,0))</f>
        <v>0</v>
      </c>
      <c r="X144" s="52">
        <f>IF(ISERROR(VLOOKUP($U$144,'TAR FIN'!$A$1:$O$85,15,0)),0,VLOOKUP($U$144,'TAR FIN'!$A$1:$O$85,15,0))</f>
        <v>0</v>
      </c>
      <c r="Y144" s="52">
        <f ca="1">('TUSD BE'!$AM$10+'TUSD BF'!$AM$10+'TUSD CVA'!$AM$10)*1*(1-0.02)</f>
        <v>27.47945129896609</v>
      </c>
      <c r="Z144" s="52"/>
      <c r="AA144" s="52"/>
      <c r="AB144" s="52">
        <f>(SUBSIDIO!$J$144*SUBSIDIO!$V$144)*(0.04)/(1-0.04)</f>
        <v>211.78319999999999</v>
      </c>
      <c r="AC144" s="52">
        <f>((SUBSIDIO!$L$144*SUBSIDIO!$W$144)+(SUBSIDIO!$N$144*SUBSIDIO!$X$144))*(0.04)/(1-0.04)</f>
        <v>0</v>
      </c>
      <c r="AD144" s="52">
        <f ca="1">(SUBSIDIO!$J$144*SUBSIDIO!$Y$144)*(0.02)/(1-0.02)</f>
        <v>132.91081546642783</v>
      </c>
      <c r="AE144" s="52">
        <f>((SUBSIDIO!$L$144*SUBSIDIO!$Z$144)+(SUBSIDIO!$N$144*SUBSIDIO!$AA$144))*(0.02)/(1-0.02)</f>
        <v>0</v>
      </c>
      <c r="AF144" s="3" t="s">
        <v>610</v>
      </c>
    </row>
    <row r="145" spans="1:32" ht="11.25" customHeight="1" x14ac:dyDescent="0.25">
      <c r="A145" s="3" t="s">
        <v>21</v>
      </c>
      <c r="B145" s="3" t="s">
        <v>35</v>
      </c>
      <c r="C145" s="3" t="s">
        <v>36</v>
      </c>
      <c r="D145" s="3" t="s">
        <v>41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44774</v>
      </c>
      <c r="J145" s="4">
        <v>228</v>
      </c>
      <c r="K145" s="52">
        <v>228</v>
      </c>
      <c r="L145" s="4">
        <v>0</v>
      </c>
      <c r="M145" s="52">
        <v>0</v>
      </c>
      <c r="N145" s="4">
        <v>0</v>
      </c>
      <c r="O145" s="52">
        <v>0</v>
      </c>
      <c r="P145" s="4">
        <v>3</v>
      </c>
      <c r="Q145" s="3" t="s">
        <v>26</v>
      </c>
      <c r="R145" s="3">
        <v>0</v>
      </c>
      <c r="S145" s="3">
        <v>22</v>
      </c>
      <c r="T145" s="3">
        <v>0</v>
      </c>
      <c r="U145" s="3">
        <v>0</v>
      </c>
      <c r="V145" s="52">
        <f>IF(ISERROR(VLOOKUP($S$145,'TAR FIN'!$A$1:$O$85,15,0)),0,VLOOKUP($S$145,'TAR FIN'!$A$1:$O$85,15,0))*(1-0.04)</f>
        <v>21.446400000000001</v>
      </c>
      <c r="W145" s="52">
        <f>IF(ISERROR(VLOOKUP($T$145,'TAR FIN'!$A$1:$O$85,15,0)),0,VLOOKUP($T$145,'TAR FIN'!$A$1:$O$85,15,0))</f>
        <v>0</v>
      </c>
      <c r="X145" s="52">
        <f>IF(ISERROR(VLOOKUP($U$145,'TAR FIN'!$A$1:$O$85,15,0)),0,VLOOKUP($U$145,'TAR FIN'!$A$1:$O$85,15,0))</f>
        <v>0</v>
      </c>
      <c r="Y145" s="52">
        <f ca="1">('TUSD BE'!$AM$10+'TUSD BF'!$AM$10+'TUSD CVA'!$AM$10)*1*(1-0.02)</f>
        <v>27.47945129896609</v>
      </c>
      <c r="Z145" s="52"/>
      <c r="AA145" s="52"/>
      <c r="AB145" s="52">
        <f>(SUBSIDIO!$J$145*SUBSIDIO!$V$145)*(0.04)/(1-0.04)</f>
        <v>203.74080000000001</v>
      </c>
      <c r="AC145" s="52">
        <f>((SUBSIDIO!$L$145*SUBSIDIO!$W$145)+(SUBSIDIO!$N$145*SUBSIDIO!$X$145))*(0.04)/(1-0.04)</f>
        <v>0</v>
      </c>
      <c r="AD145" s="52">
        <f ca="1">(SUBSIDIO!$J$145*SUBSIDIO!$Y$145)*(0.02)/(1-0.02)</f>
        <v>127.86356930947487</v>
      </c>
      <c r="AE145" s="52">
        <f>((SUBSIDIO!$L$145*SUBSIDIO!$Z$145)+(SUBSIDIO!$N$145*SUBSIDIO!$AA$145))*(0.02)/(1-0.02)</f>
        <v>0</v>
      </c>
      <c r="AF145" s="3" t="s">
        <v>610</v>
      </c>
    </row>
    <row r="146" spans="1:32" ht="11.25" customHeight="1" x14ac:dyDescent="0.25">
      <c r="A146" s="3" t="s">
        <v>21</v>
      </c>
      <c r="B146" s="3" t="s">
        <v>35</v>
      </c>
      <c r="C146" s="3" t="s">
        <v>36</v>
      </c>
      <c r="D146" s="3" t="s">
        <v>41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44440</v>
      </c>
      <c r="J146" s="4">
        <v>0</v>
      </c>
      <c r="K146" s="52">
        <v>0</v>
      </c>
      <c r="L146" s="4">
        <v>4.2469999999999999</v>
      </c>
      <c r="M146" s="52">
        <v>4.2469999999999999</v>
      </c>
      <c r="N146" s="4">
        <v>4.2469999999999999</v>
      </c>
      <c r="O146" s="52">
        <v>4.2469999999999999</v>
      </c>
      <c r="P146" s="4">
        <v>0</v>
      </c>
      <c r="Q146" s="3" t="s">
        <v>26</v>
      </c>
      <c r="R146" s="3">
        <v>0</v>
      </c>
      <c r="S146" s="3">
        <v>0</v>
      </c>
      <c r="T146" s="3">
        <v>33</v>
      </c>
      <c r="U146" s="3">
        <v>51</v>
      </c>
      <c r="V146" s="52">
        <f>IF(ISERROR(VLOOKUP($S$146,'TAR FIN'!$A$1:$O$85,15,0)),0,VLOOKUP($S$146,'TAR FIN'!$A$1:$O$85,15,0))</f>
        <v>0</v>
      </c>
      <c r="W146" s="52">
        <f>IF(ISERROR(VLOOKUP($T$146,'TAR FIN'!$A$1:$O$85,15,0)),0,VLOOKUP($T$146,'TAR FIN'!$A$1:$O$85,15,0))*(1-0.04)</f>
        <v>1859.4623999999999</v>
      </c>
      <c r="X146" s="52">
        <f>IF(ISERROR(VLOOKUP($U$146,'TAR FIN'!$A$1:$O$85,15,0)),0,VLOOKUP($U$146,'TAR FIN'!$A$1:$O$85,15,0))*(1-0.04)</f>
        <v>257.1936</v>
      </c>
      <c r="Y146" s="52"/>
      <c r="Z146" s="52">
        <f ca="1">('TUSD BE'!$AM$11+'TUSD BF'!$AM$11+'TUSD CVA'!$AM$11)*1*(1-0.02)</f>
        <v>2163.0303623265568</v>
      </c>
      <c r="AA146" s="52">
        <f>('TE BE'!$AB$5+'TE BF'!$AB$5+'TE CVA'!$AB$5)*1*(1-0.02)</f>
        <v>181.71240751544846</v>
      </c>
      <c r="AB146" s="52">
        <f>(SUBSIDIO!$J$146*SUBSIDIO!$V$146)*(0.04)/(1-0.04)</f>
        <v>0</v>
      </c>
      <c r="AC146" s="52">
        <f>((SUBSIDIO!$L$146*SUBSIDIO!$W$146)+(SUBSIDIO!$N$146*SUBSIDIO!$X$146))*(0.04)/(1-0.04)</f>
        <v>374.55991799999998</v>
      </c>
      <c r="AD146" s="52">
        <f>(SUBSIDIO!$J$146*SUBSIDIO!$Y$146)*(0.02)/(1-0.02)</f>
        <v>0</v>
      </c>
      <c r="AE146" s="52">
        <f ca="1">((SUBSIDIO!$L$146*SUBSIDIO!$Z$146)+(SUBSIDIO!$N$146*SUBSIDIO!$AA$146))*(0.02)/(1-0.02)</f>
        <v>203.22699068406112</v>
      </c>
      <c r="AF146" s="3" t="s">
        <v>610</v>
      </c>
    </row>
    <row r="147" spans="1:32" ht="11.25" customHeight="1" x14ac:dyDescent="0.25">
      <c r="A147" s="3" t="s">
        <v>21</v>
      </c>
      <c r="B147" s="3" t="s">
        <v>35</v>
      </c>
      <c r="C147" s="3" t="s">
        <v>36</v>
      </c>
      <c r="D147" s="3" t="s">
        <v>41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44470</v>
      </c>
      <c r="J147" s="4">
        <v>0</v>
      </c>
      <c r="K147" s="52">
        <v>0</v>
      </c>
      <c r="L147" s="4">
        <v>1.5149999999999999</v>
      </c>
      <c r="M147" s="52">
        <v>1.5149999999999999</v>
      </c>
      <c r="N147" s="4">
        <v>1.5149999999999999</v>
      </c>
      <c r="O147" s="52">
        <v>1.5149999999999999</v>
      </c>
      <c r="P147" s="4">
        <v>0</v>
      </c>
      <c r="Q147" s="3" t="s">
        <v>26</v>
      </c>
      <c r="R147" s="3">
        <v>0</v>
      </c>
      <c r="S147" s="3">
        <v>0</v>
      </c>
      <c r="T147" s="3">
        <v>33</v>
      </c>
      <c r="U147" s="3">
        <v>51</v>
      </c>
      <c r="V147" s="52">
        <f>IF(ISERROR(VLOOKUP($S$147,'TAR FIN'!$A$1:$O$85,15,0)),0,VLOOKUP($S$147,'TAR FIN'!$A$1:$O$85,15,0))</f>
        <v>0</v>
      </c>
      <c r="W147" s="52">
        <f>IF(ISERROR(VLOOKUP($T$147,'TAR FIN'!$A$1:$O$85,15,0)),0,VLOOKUP($T$147,'TAR FIN'!$A$1:$O$85,15,0))*(1-0.04)</f>
        <v>1859.4623999999999</v>
      </c>
      <c r="X147" s="52">
        <f>IF(ISERROR(VLOOKUP($U$147,'TAR FIN'!$A$1:$O$85,15,0)),0,VLOOKUP($U$147,'TAR FIN'!$A$1:$O$85,15,0))*(1-0.04)</f>
        <v>257.1936</v>
      </c>
      <c r="Y147" s="52"/>
      <c r="Z147" s="52">
        <f ca="1">('TUSD BE'!$AM$11+'TUSD BF'!$AM$11+'TUSD CVA'!$AM$11)*1*(1-0.02)</f>
        <v>2163.0303623265568</v>
      </c>
      <c r="AA147" s="52">
        <f>('TE BE'!$AB$5+'TE BF'!$AB$5+'TE CVA'!$AB$5)*1*(1-0.02)</f>
        <v>181.71240751544846</v>
      </c>
      <c r="AB147" s="52">
        <f>(SUBSIDIO!$J$147*SUBSIDIO!$V$147)*(0.04)/(1-0.04)</f>
        <v>0</v>
      </c>
      <c r="AC147" s="52">
        <f>((SUBSIDIO!$L$147*SUBSIDIO!$W$147)+(SUBSIDIO!$N$147*SUBSIDIO!$X$147))*(0.04)/(1-0.04)</f>
        <v>133.61391</v>
      </c>
      <c r="AD147" s="52">
        <f>(SUBSIDIO!$J$147*SUBSIDIO!$Y$147)*(0.02)/(1-0.02)</f>
        <v>0</v>
      </c>
      <c r="AE147" s="52">
        <f ca="1">((SUBSIDIO!$L$147*SUBSIDIO!$Z$147)+(SUBSIDIO!$N$147*SUBSIDIO!$AA$147))*(0.02)/(1-0.02)</f>
        <v>72.495618292053834</v>
      </c>
      <c r="AF147" s="3" t="s">
        <v>610</v>
      </c>
    </row>
    <row r="148" spans="1:32" ht="11.25" customHeight="1" x14ac:dyDescent="0.25">
      <c r="A148" s="3" t="s">
        <v>21</v>
      </c>
      <c r="B148" s="3" t="s">
        <v>35</v>
      </c>
      <c r="C148" s="3" t="s">
        <v>36</v>
      </c>
      <c r="D148" s="3" t="s">
        <v>41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44501</v>
      </c>
      <c r="J148" s="4">
        <v>0</v>
      </c>
      <c r="K148" s="52">
        <v>0</v>
      </c>
      <c r="L148" s="4">
        <v>1.4079999999999999</v>
      </c>
      <c r="M148" s="52">
        <v>1.4079999999999999</v>
      </c>
      <c r="N148" s="4">
        <v>1.4079999999999999</v>
      </c>
      <c r="O148" s="52">
        <v>1.4079999999999999</v>
      </c>
      <c r="P148" s="4">
        <v>0</v>
      </c>
      <c r="Q148" s="3" t="s">
        <v>26</v>
      </c>
      <c r="R148" s="3">
        <v>0</v>
      </c>
      <c r="S148" s="3">
        <v>0</v>
      </c>
      <c r="T148" s="3">
        <v>33</v>
      </c>
      <c r="U148" s="3">
        <v>51</v>
      </c>
      <c r="V148" s="52">
        <f>IF(ISERROR(VLOOKUP($S$148,'TAR FIN'!$A$1:$O$85,15,0)),0,VLOOKUP($S$148,'TAR FIN'!$A$1:$O$85,15,0))</f>
        <v>0</v>
      </c>
      <c r="W148" s="52">
        <f>IF(ISERROR(VLOOKUP($T$148,'TAR FIN'!$A$1:$O$85,15,0)),0,VLOOKUP($T$148,'TAR FIN'!$A$1:$O$85,15,0))*(1-0.04)</f>
        <v>1859.4623999999999</v>
      </c>
      <c r="X148" s="52">
        <f>IF(ISERROR(VLOOKUP($U$148,'TAR FIN'!$A$1:$O$85,15,0)),0,VLOOKUP($U$148,'TAR FIN'!$A$1:$O$85,15,0))*(1-0.04)</f>
        <v>257.1936</v>
      </c>
      <c r="Y148" s="52"/>
      <c r="Z148" s="52">
        <f ca="1">('TUSD BE'!$AM$11+'TUSD BF'!$AM$11+'TUSD CVA'!$AM$11)*1*(1-0.02)</f>
        <v>2163.0303623265568</v>
      </c>
      <c r="AA148" s="52">
        <f>('TE BE'!$AB$5+'TE BF'!$AB$5+'TE CVA'!$AB$5)*1*(1-0.02)</f>
        <v>181.71240751544846</v>
      </c>
      <c r="AB148" s="52">
        <f>(SUBSIDIO!$J$148*SUBSIDIO!$V$148)*(0.04)/(1-0.04)</f>
        <v>0</v>
      </c>
      <c r="AC148" s="52">
        <f>((SUBSIDIO!$L$148*SUBSIDIO!$W$148)+(SUBSIDIO!$N$148*SUBSIDIO!$X$148))*(0.04)/(1-0.04)</f>
        <v>124.17715199999998</v>
      </c>
      <c r="AD148" s="52">
        <f>(SUBSIDIO!$J$148*SUBSIDIO!$Y$148)*(0.02)/(1-0.02)</f>
        <v>0</v>
      </c>
      <c r="AE148" s="52">
        <f ca="1">((SUBSIDIO!$L$148*SUBSIDIO!$Z$148)+(SUBSIDIO!$N$148*SUBSIDIO!$AA$148))*(0.02)/(1-0.02)</f>
        <v>67.375465713011096</v>
      </c>
      <c r="AF148" s="3" t="s">
        <v>610</v>
      </c>
    </row>
    <row r="149" spans="1:32" ht="11.25" customHeight="1" x14ac:dyDescent="0.25">
      <c r="A149" s="3" t="s">
        <v>21</v>
      </c>
      <c r="B149" s="3" t="s">
        <v>35</v>
      </c>
      <c r="C149" s="3" t="s">
        <v>36</v>
      </c>
      <c r="D149" s="3" t="s">
        <v>41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44531</v>
      </c>
      <c r="J149" s="4">
        <v>0</v>
      </c>
      <c r="K149" s="52">
        <v>0</v>
      </c>
      <c r="L149" s="4">
        <v>1.385</v>
      </c>
      <c r="M149" s="52">
        <v>1.385</v>
      </c>
      <c r="N149" s="4">
        <v>1.385</v>
      </c>
      <c r="O149" s="52">
        <v>1.385</v>
      </c>
      <c r="P149" s="4">
        <v>0</v>
      </c>
      <c r="Q149" s="3" t="s">
        <v>26</v>
      </c>
      <c r="R149" s="3">
        <v>0</v>
      </c>
      <c r="S149" s="3">
        <v>0</v>
      </c>
      <c r="T149" s="3">
        <v>33</v>
      </c>
      <c r="U149" s="3">
        <v>51</v>
      </c>
      <c r="V149" s="52">
        <f>IF(ISERROR(VLOOKUP($S$149,'TAR FIN'!$A$1:$O$85,15,0)),0,VLOOKUP($S$149,'TAR FIN'!$A$1:$O$85,15,0))</f>
        <v>0</v>
      </c>
      <c r="W149" s="52">
        <f>IF(ISERROR(VLOOKUP($T$149,'TAR FIN'!$A$1:$O$85,15,0)),0,VLOOKUP($T$149,'TAR FIN'!$A$1:$O$85,15,0))*(1-0.04)</f>
        <v>1859.4623999999999</v>
      </c>
      <c r="X149" s="52">
        <f>IF(ISERROR(VLOOKUP($U$149,'TAR FIN'!$A$1:$O$85,15,0)),0,VLOOKUP($U$149,'TAR FIN'!$A$1:$O$85,15,0))*(1-0.04)</f>
        <v>257.1936</v>
      </c>
      <c r="Y149" s="52"/>
      <c r="Z149" s="52">
        <f ca="1">('TUSD BE'!$AM$11+'TUSD BF'!$AM$11+'TUSD CVA'!$AM$11)*1*(1-0.02)</f>
        <v>2163.0303623265568</v>
      </c>
      <c r="AA149" s="52">
        <f>('TE BE'!$AB$5+'TE BF'!$AB$5+'TE CVA'!$AB$5)*1*(1-0.02)</f>
        <v>181.71240751544846</v>
      </c>
      <c r="AB149" s="52">
        <f>(SUBSIDIO!$J$149*SUBSIDIO!$V$149)*(0.04)/(1-0.04)</f>
        <v>0</v>
      </c>
      <c r="AC149" s="52">
        <f>((SUBSIDIO!$L$149*SUBSIDIO!$W$149)+(SUBSIDIO!$N$149*SUBSIDIO!$X$149))*(0.04)/(1-0.04)</f>
        <v>122.14869</v>
      </c>
      <c r="AD149" s="52">
        <f>(SUBSIDIO!$J$149*SUBSIDIO!$Y$149)*(0.02)/(1-0.02)</f>
        <v>0</v>
      </c>
      <c r="AE149" s="52">
        <f ca="1">((SUBSIDIO!$L$149*SUBSIDIO!$Z$149)+(SUBSIDIO!$N$149*SUBSIDIO!$AA$149))*(0.02)/(1-0.02)</f>
        <v>66.274872167983204</v>
      </c>
      <c r="AF149" s="3" t="s">
        <v>610</v>
      </c>
    </row>
    <row r="150" spans="1:32" ht="11.25" customHeight="1" x14ac:dyDescent="0.25">
      <c r="A150" s="3" t="s">
        <v>21</v>
      </c>
      <c r="B150" s="3" t="s">
        <v>35</v>
      </c>
      <c r="C150" s="3" t="s">
        <v>36</v>
      </c>
      <c r="D150" s="3" t="s">
        <v>41</v>
      </c>
      <c r="E150" s="3" t="s">
        <v>25</v>
      </c>
      <c r="F150" s="3" t="s">
        <v>25</v>
      </c>
      <c r="G150" s="3" t="s">
        <v>25</v>
      </c>
      <c r="H150" s="3" t="s">
        <v>37</v>
      </c>
      <c r="I150" s="6">
        <v>44562</v>
      </c>
      <c r="J150" s="4">
        <v>0</v>
      </c>
      <c r="K150" s="52">
        <v>0</v>
      </c>
      <c r="L150" s="4">
        <v>1.2430000000000001</v>
      </c>
      <c r="M150" s="52">
        <v>1.2430000000000001</v>
      </c>
      <c r="N150" s="4">
        <v>1.2430000000000001</v>
      </c>
      <c r="O150" s="52">
        <v>1.2430000000000001</v>
      </c>
      <c r="P150" s="4">
        <v>0</v>
      </c>
      <c r="Q150" s="3" t="s">
        <v>26</v>
      </c>
      <c r="R150" s="3">
        <v>0</v>
      </c>
      <c r="S150" s="3">
        <v>0</v>
      </c>
      <c r="T150" s="3">
        <v>33</v>
      </c>
      <c r="U150" s="3">
        <v>51</v>
      </c>
      <c r="V150" s="52">
        <f>IF(ISERROR(VLOOKUP($S$150,'TAR FIN'!$A$1:$O$85,15,0)),0,VLOOKUP($S$150,'TAR FIN'!$A$1:$O$85,15,0))</f>
        <v>0</v>
      </c>
      <c r="W150" s="52">
        <f>IF(ISERROR(VLOOKUP($T$150,'TAR FIN'!$A$1:$O$85,15,0)),0,VLOOKUP($T$150,'TAR FIN'!$A$1:$O$85,15,0))*(1-0.04)</f>
        <v>1859.4623999999999</v>
      </c>
      <c r="X150" s="52">
        <f>IF(ISERROR(VLOOKUP($U$150,'TAR FIN'!$A$1:$O$85,15,0)),0,VLOOKUP($U$150,'TAR FIN'!$A$1:$O$85,15,0))*(1-0.04)</f>
        <v>257.1936</v>
      </c>
      <c r="Y150" s="52"/>
      <c r="Z150" s="52">
        <f ca="1">('TUSD BE'!$AM$11+'TUSD BF'!$AM$11+'TUSD CVA'!$AM$11)*1*(1-0.02)</f>
        <v>2163.0303623265568</v>
      </c>
      <c r="AA150" s="52">
        <f>('TE BE'!$AB$5+'TE BF'!$AB$5+'TE CVA'!$AB$5)*1*(1-0.02)</f>
        <v>181.71240751544846</v>
      </c>
      <c r="AB150" s="52">
        <f>(SUBSIDIO!$J$150*SUBSIDIO!$V$150)*(0.04)/(1-0.04)</f>
        <v>0</v>
      </c>
      <c r="AC150" s="52">
        <f>((SUBSIDIO!$L$150*SUBSIDIO!$W$150)+(SUBSIDIO!$N$150*SUBSIDIO!$X$150))*(0.04)/(1-0.04)</f>
        <v>109.62514200000001</v>
      </c>
      <c r="AD150" s="52">
        <f>(SUBSIDIO!$J$150*SUBSIDIO!$Y$150)*(0.02)/(1-0.02)</f>
        <v>0</v>
      </c>
      <c r="AE150" s="52">
        <f ca="1">((SUBSIDIO!$L$150*SUBSIDIO!$Z$150)+(SUBSIDIO!$N$150*SUBSIDIO!$AA$150))*(0.02)/(1-0.02)</f>
        <v>59.479903324767605</v>
      </c>
      <c r="AF150" s="3" t="s">
        <v>610</v>
      </c>
    </row>
    <row r="151" spans="1:32" ht="11.25" customHeight="1" x14ac:dyDescent="0.25">
      <c r="A151" s="3" t="s">
        <v>21</v>
      </c>
      <c r="B151" s="3" t="s">
        <v>35</v>
      </c>
      <c r="C151" s="3" t="s">
        <v>36</v>
      </c>
      <c r="D151" s="3" t="s">
        <v>41</v>
      </c>
      <c r="E151" s="3" t="s">
        <v>25</v>
      </c>
      <c r="F151" s="3" t="s">
        <v>25</v>
      </c>
      <c r="G151" s="3" t="s">
        <v>25</v>
      </c>
      <c r="H151" s="3" t="s">
        <v>37</v>
      </c>
      <c r="I151" s="6">
        <v>44593</v>
      </c>
      <c r="J151" s="4">
        <v>0</v>
      </c>
      <c r="K151" s="52">
        <v>0</v>
      </c>
      <c r="L151" s="4">
        <v>1.1970000000000001</v>
      </c>
      <c r="M151" s="52">
        <v>1.1970000000000001</v>
      </c>
      <c r="N151" s="4">
        <v>1.1970000000000001</v>
      </c>
      <c r="O151" s="52">
        <v>1.1970000000000001</v>
      </c>
      <c r="P151" s="4">
        <v>0</v>
      </c>
      <c r="Q151" s="3" t="s">
        <v>26</v>
      </c>
      <c r="R151" s="3">
        <v>0</v>
      </c>
      <c r="S151" s="3">
        <v>0</v>
      </c>
      <c r="T151" s="3">
        <v>33</v>
      </c>
      <c r="U151" s="3">
        <v>51</v>
      </c>
      <c r="V151" s="52">
        <f>IF(ISERROR(VLOOKUP($S$151,'TAR FIN'!$A$1:$O$85,15,0)),0,VLOOKUP($S$151,'TAR FIN'!$A$1:$O$85,15,0))</f>
        <v>0</v>
      </c>
      <c r="W151" s="52">
        <f>IF(ISERROR(VLOOKUP($T$151,'TAR FIN'!$A$1:$O$85,15,0)),0,VLOOKUP($T$151,'TAR FIN'!$A$1:$O$85,15,0))*(1-0.04)</f>
        <v>1859.4623999999999</v>
      </c>
      <c r="X151" s="52">
        <f>IF(ISERROR(VLOOKUP($U$151,'TAR FIN'!$A$1:$O$85,15,0)),0,VLOOKUP($U$151,'TAR FIN'!$A$1:$O$85,15,0))*(1-0.04)</f>
        <v>257.1936</v>
      </c>
      <c r="Y151" s="52"/>
      <c r="Z151" s="52">
        <f ca="1">('TUSD BE'!$AM$11+'TUSD BF'!$AM$11+'TUSD CVA'!$AM$11)*1*(1-0.02)</f>
        <v>2163.0303623265568</v>
      </c>
      <c r="AA151" s="52">
        <f>('TE BE'!$AB$5+'TE BF'!$AB$5+'TE CVA'!$AB$5)*1*(1-0.02)</f>
        <v>181.71240751544846</v>
      </c>
      <c r="AB151" s="52">
        <f>(SUBSIDIO!$J$151*SUBSIDIO!$V$151)*(0.04)/(1-0.04)</f>
        <v>0</v>
      </c>
      <c r="AC151" s="52">
        <f>((SUBSIDIO!$L$151*SUBSIDIO!$W$151)+(SUBSIDIO!$N$151*SUBSIDIO!$X$151))*(0.04)/(1-0.04)</f>
        <v>105.56821800000002</v>
      </c>
      <c r="AD151" s="52">
        <f>(SUBSIDIO!$J$151*SUBSIDIO!$Y$151)*(0.02)/(1-0.02)</f>
        <v>0</v>
      </c>
      <c r="AE151" s="52">
        <f ca="1">((SUBSIDIO!$L$151*SUBSIDIO!$Z$151)+(SUBSIDIO!$N$151*SUBSIDIO!$AA$151))*(0.02)/(1-0.02)</f>
        <v>57.278716234711844</v>
      </c>
      <c r="AF151" s="3" t="s">
        <v>610</v>
      </c>
    </row>
    <row r="152" spans="1:32" ht="11.25" customHeight="1" x14ac:dyDescent="0.25">
      <c r="A152" s="3" t="s">
        <v>21</v>
      </c>
      <c r="B152" s="3" t="s">
        <v>35</v>
      </c>
      <c r="C152" s="3" t="s">
        <v>36</v>
      </c>
      <c r="D152" s="3" t="s">
        <v>41</v>
      </c>
      <c r="E152" s="3" t="s">
        <v>25</v>
      </c>
      <c r="F152" s="3" t="s">
        <v>25</v>
      </c>
      <c r="G152" s="3" t="s">
        <v>25</v>
      </c>
      <c r="H152" s="3" t="s">
        <v>37</v>
      </c>
      <c r="I152" s="6">
        <v>44621</v>
      </c>
      <c r="J152" s="4">
        <v>0</v>
      </c>
      <c r="K152" s="52">
        <v>0</v>
      </c>
      <c r="L152" s="4">
        <v>1.4970000000000001</v>
      </c>
      <c r="M152" s="52">
        <v>1.4970000000000001</v>
      </c>
      <c r="N152" s="4">
        <v>1.4970000000000001</v>
      </c>
      <c r="O152" s="52">
        <v>1.4970000000000001</v>
      </c>
      <c r="P152" s="4">
        <v>0</v>
      </c>
      <c r="Q152" s="3" t="s">
        <v>26</v>
      </c>
      <c r="R152" s="3">
        <v>0</v>
      </c>
      <c r="S152" s="3">
        <v>0</v>
      </c>
      <c r="T152" s="3">
        <v>33</v>
      </c>
      <c r="U152" s="3">
        <v>51</v>
      </c>
      <c r="V152" s="52">
        <f>IF(ISERROR(VLOOKUP($S$152,'TAR FIN'!$A$1:$O$85,15,0)),0,VLOOKUP($S$152,'TAR FIN'!$A$1:$O$85,15,0))</f>
        <v>0</v>
      </c>
      <c r="W152" s="52">
        <f>IF(ISERROR(VLOOKUP($T$152,'TAR FIN'!$A$1:$O$85,15,0)),0,VLOOKUP($T$152,'TAR FIN'!$A$1:$O$85,15,0))*(1-0.04)</f>
        <v>1859.4623999999999</v>
      </c>
      <c r="X152" s="52">
        <f>IF(ISERROR(VLOOKUP($U$152,'TAR FIN'!$A$1:$O$85,15,0)),0,VLOOKUP($U$152,'TAR FIN'!$A$1:$O$85,15,0))*(1-0.04)</f>
        <v>257.1936</v>
      </c>
      <c r="Y152" s="52"/>
      <c r="Z152" s="52">
        <f ca="1">('TUSD BE'!$AM$11+'TUSD BF'!$AM$11+'TUSD CVA'!$AM$11)*1*(1-0.02)</f>
        <v>2163.0303623265568</v>
      </c>
      <c r="AA152" s="52">
        <f>('TE BE'!$AB$5+'TE BF'!$AB$5+'TE CVA'!$AB$5)*1*(1-0.02)</f>
        <v>181.71240751544846</v>
      </c>
      <c r="AB152" s="52">
        <f>(SUBSIDIO!$J$152*SUBSIDIO!$V$152)*(0.04)/(1-0.04)</f>
        <v>0</v>
      </c>
      <c r="AC152" s="52">
        <f>((SUBSIDIO!$L$152*SUBSIDIO!$W$152)+(SUBSIDIO!$N$152*SUBSIDIO!$X$152))*(0.04)/(1-0.04)</f>
        <v>132.02641800000001</v>
      </c>
      <c r="AD152" s="52">
        <f>(SUBSIDIO!$J$152*SUBSIDIO!$Y$152)*(0.02)/(1-0.02)</f>
        <v>0</v>
      </c>
      <c r="AE152" s="52">
        <f ca="1">((SUBSIDIO!$L$152*SUBSIDIO!$Z$152)+(SUBSIDIO!$N$152*SUBSIDIO!$AA$152))*(0.02)/(1-0.02)</f>
        <v>71.634284213336372</v>
      </c>
      <c r="AF152" s="3" t="s">
        <v>610</v>
      </c>
    </row>
    <row r="153" spans="1:32" ht="11.25" customHeight="1" x14ac:dyDescent="0.25">
      <c r="A153" s="3" t="s">
        <v>21</v>
      </c>
      <c r="B153" s="3" t="s">
        <v>35</v>
      </c>
      <c r="C153" s="3" t="s">
        <v>36</v>
      </c>
      <c r="D153" s="3" t="s">
        <v>41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44652</v>
      </c>
      <c r="J153" s="4">
        <v>0</v>
      </c>
      <c r="K153" s="52">
        <v>0</v>
      </c>
      <c r="L153" s="4">
        <v>1.2509999999999999</v>
      </c>
      <c r="M153" s="52">
        <v>1.2509999999999999</v>
      </c>
      <c r="N153" s="4">
        <v>1.2509999999999999</v>
      </c>
      <c r="O153" s="52">
        <v>1.2509999999999999</v>
      </c>
      <c r="P153" s="4">
        <v>0</v>
      </c>
      <c r="Q153" s="3" t="s">
        <v>26</v>
      </c>
      <c r="R153" s="3">
        <v>0</v>
      </c>
      <c r="S153" s="3">
        <v>0</v>
      </c>
      <c r="T153" s="3">
        <v>33</v>
      </c>
      <c r="U153" s="3">
        <v>51</v>
      </c>
      <c r="V153" s="52">
        <f>IF(ISERROR(VLOOKUP($S$153,'TAR FIN'!$A$1:$O$85,15,0)),0,VLOOKUP($S$153,'TAR FIN'!$A$1:$O$85,15,0))</f>
        <v>0</v>
      </c>
      <c r="W153" s="52">
        <f>IF(ISERROR(VLOOKUP($T$153,'TAR FIN'!$A$1:$O$85,15,0)),0,VLOOKUP($T$153,'TAR FIN'!$A$1:$O$85,15,0))*(1-0.04)</f>
        <v>1859.4623999999999</v>
      </c>
      <c r="X153" s="52">
        <f>IF(ISERROR(VLOOKUP($U$153,'TAR FIN'!$A$1:$O$85,15,0)),0,VLOOKUP($U$153,'TAR FIN'!$A$1:$O$85,15,0))*(1-0.04)</f>
        <v>257.1936</v>
      </c>
      <c r="Y153" s="52"/>
      <c r="Z153" s="52">
        <f ca="1">('TUSD BE'!$AM$11+'TUSD BF'!$AM$11+'TUSD CVA'!$AM$11)*1*(1-0.02)</f>
        <v>2163.0303623265568</v>
      </c>
      <c r="AA153" s="52">
        <f>('TE BE'!$AB$5+'TE BF'!$AB$5+'TE CVA'!$AB$5)*1*(1-0.02)</f>
        <v>181.71240751544846</v>
      </c>
      <c r="AB153" s="52">
        <f>(SUBSIDIO!$J$153*SUBSIDIO!$V$153)*(0.04)/(1-0.04)</f>
        <v>0</v>
      </c>
      <c r="AC153" s="52">
        <f>((SUBSIDIO!$L$153*SUBSIDIO!$W$153)+(SUBSIDIO!$N$153*SUBSIDIO!$X$153))*(0.04)/(1-0.04)</f>
        <v>110.33069399999999</v>
      </c>
      <c r="AD153" s="52">
        <f>(SUBSIDIO!$J$153*SUBSIDIO!$Y$153)*(0.02)/(1-0.02)</f>
        <v>0</v>
      </c>
      <c r="AE153" s="52">
        <f ca="1">((SUBSIDIO!$L$153*SUBSIDIO!$Z$153)+(SUBSIDIO!$N$153*SUBSIDIO!$AA$153))*(0.02)/(1-0.02)</f>
        <v>59.862718470864245</v>
      </c>
      <c r="AF153" s="3" t="s">
        <v>610</v>
      </c>
    </row>
    <row r="154" spans="1:32" ht="11.25" customHeight="1" x14ac:dyDescent="0.25">
      <c r="A154" s="3" t="s">
        <v>21</v>
      </c>
      <c r="B154" s="3" t="s">
        <v>35</v>
      </c>
      <c r="C154" s="3" t="s">
        <v>36</v>
      </c>
      <c r="D154" s="3" t="s">
        <v>41</v>
      </c>
      <c r="E154" s="3" t="s">
        <v>25</v>
      </c>
      <c r="F154" s="3" t="s">
        <v>25</v>
      </c>
      <c r="G154" s="3" t="s">
        <v>25</v>
      </c>
      <c r="H154" s="3" t="s">
        <v>37</v>
      </c>
      <c r="I154" s="6">
        <v>44682</v>
      </c>
      <c r="J154" s="4">
        <v>0</v>
      </c>
      <c r="K154" s="52">
        <v>0</v>
      </c>
      <c r="L154" s="4">
        <v>6.758</v>
      </c>
      <c r="M154" s="52">
        <v>6.758</v>
      </c>
      <c r="N154" s="4">
        <v>6.758</v>
      </c>
      <c r="O154" s="52">
        <v>6.758</v>
      </c>
      <c r="P154" s="4">
        <v>0</v>
      </c>
      <c r="Q154" s="3" t="s">
        <v>26</v>
      </c>
      <c r="R154" s="3">
        <v>0</v>
      </c>
      <c r="S154" s="3">
        <v>0</v>
      </c>
      <c r="T154" s="3">
        <v>33</v>
      </c>
      <c r="U154" s="3">
        <v>51</v>
      </c>
      <c r="V154" s="52">
        <f>IF(ISERROR(VLOOKUP($S$154,'TAR FIN'!$A$1:$O$85,15,0)),0,VLOOKUP($S$154,'TAR FIN'!$A$1:$O$85,15,0))</f>
        <v>0</v>
      </c>
      <c r="W154" s="52">
        <f>IF(ISERROR(VLOOKUP($T$154,'TAR FIN'!$A$1:$O$85,15,0)),0,VLOOKUP($T$154,'TAR FIN'!$A$1:$O$85,15,0))*(1-0.04)</f>
        <v>1859.4623999999999</v>
      </c>
      <c r="X154" s="52">
        <f>IF(ISERROR(VLOOKUP($U$154,'TAR FIN'!$A$1:$O$85,15,0)),0,VLOOKUP($U$154,'TAR FIN'!$A$1:$O$85,15,0))*(1-0.04)</f>
        <v>257.1936</v>
      </c>
      <c r="Y154" s="52"/>
      <c r="Z154" s="52">
        <f ca="1">('TUSD BE'!$AM$11+'TUSD BF'!$AM$11+'TUSD CVA'!$AM$11)*1*(1-0.02)</f>
        <v>2163.0303623265568</v>
      </c>
      <c r="AA154" s="52">
        <f>('TE BE'!$AB$5+'TE BF'!$AB$5+'TE CVA'!$AB$5)*1*(1-0.02)</f>
        <v>181.71240751544846</v>
      </c>
      <c r="AB154" s="52">
        <f>(SUBSIDIO!$J$154*SUBSIDIO!$V$154)*(0.04)/(1-0.04)</f>
        <v>0</v>
      </c>
      <c r="AC154" s="52">
        <f>((SUBSIDIO!$L$154*SUBSIDIO!$W$154)+(SUBSIDIO!$N$154*SUBSIDIO!$X$154))*(0.04)/(1-0.04)</f>
        <v>596.01505200000008</v>
      </c>
      <c r="AD154" s="52">
        <f>(SUBSIDIO!$J$154*SUBSIDIO!$Y$154)*(0.02)/(1-0.02)</f>
        <v>0</v>
      </c>
      <c r="AE154" s="52">
        <f ca="1">((SUBSIDIO!$L$154*SUBSIDIO!$Z$154)+(SUBSIDIO!$N$154*SUBSIDIO!$AA$154))*(0.02)/(1-0.02)</f>
        <v>323.38309466514846</v>
      </c>
      <c r="AF154" s="3" t="s">
        <v>610</v>
      </c>
    </row>
    <row r="155" spans="1:32" ht="11.25" customHeight="1" x14ac:dyDescent="0.25">
      <c r="A155" s="3" t="s">
        <v>21</v>
      </c>
      <c r="B155" s="3" t="s">
        <v>35</v>
      </c>
      <c r="C155" s="3" t="s">
        <v>36</v>
      </c>
      <c r="D155" s="3" t="s">
        <v>41</v>
      </c>
      <c r="E155" s="3" t="s">
        <v>25</v>
      </c>
      <c r="F155" s="3" t="s">
        <v>25</v>
      </c>
      <c r="G155" s="3" t="s">
        <v>25</v>
      </c>
      <c r="H155" s="3" t="s">
        <v>37</v>
      </c>
      <c r="I155" s="6">
        <v>44713</v>
      </c>
      <c r="J155" s="4">
        <v>0</v>
      </c>
      <c r="K155" s="52">
        <v>0</v>
      </c>
      <c r="L155" s="4">
        <v>8.375</v>
      </c>
      <c r="M155" s="52">
        <v>8.375</v>
      </c>
      <c r="N155" s="4">
        <v>8.375</v>
      </c>
      <c r="O155" s="52">
        <v>8.375</v>
      </c>
      <c r="P155" s="4">
        <v>0</v>
      </c>
      <c r="Q155" s="3" t="s">
        <v>26</v>
      </c>
      <c r="R155" s="3">
        <v>0</v>
      </c>
      <c r="S155" s="3">
        <v>0</v>
      </c>
      <c r="T155" s="3">
        <v>33</v>
      </c>
      <c r="U155" s="3">
        <v>51</v>
      </c>
      <c r="V155" s="52">
        <f>IF(ISERROR(VLOOKUP($S$155,'TAR FIN'!$A$1:$O$85,15,0)),0,VLOOKUP($S$155,'TAR FIN'!$A$1:$O$85,15,0))</f>
        <v>0</v>
      </c>
      <c r="W155" s="52">
        <f>IF(ISERROR(VLOOKUP($T$155,'TAR FIN'!$A$1:$O$85,15,0)),0,VLOOKUP($T$155,'TAR FIN'!$A$1:$O$85,15,0))*(1-0.04)</f>
        <v>1859.4623999999999</v>
      </c>
      <c r="X155" s="52">
        <f>IF(ISERROR(VLOOKUP($U$155,'TAR FIN'!$A$1:$O$85,15,0)),0,VLOOKUP($U$155,'TAR FIN'!$A$1:$O$85,15,0))*(1-0.04)</f>
        <v>257.1936</v>
      </c>
      <c r="Y155" s="52"/>
      <c r="Z155" s="52">
        <f ca="1">('TUSD BE'!$AM$11+'TUSD BF'!$AM$11+'TUSD CVA'!$AM$11)*1*(1-0.02)</f>
        <v>2163.0303623265568</v>
      </c>
      <c r="AA155" s="52">
        <f>('TE BE'!$AB$5+'TE BF'!$AB$5+'TE CVA'!$AB$5)*1*(1-0.02)</f>
        <v>181.71240751544846</v>
      </c>
      <c r="AB155" s="52">
        <f>(SUBSIDIO!$J$155*SUBSIDIO!$V$155)*(0.04)/(1-0.04)</f>
        <v>0</v>
      </c>
      <c r="AC155" s="52">
        <f>((SUBSIDIO!$L$155*SUBSIDIO!$W$155)+(SUBSIDIO!$N$155*SUBSIDIO!$X$155))*(0.04)/(1-0.04)</f>
        <v>738.62474999999995</v>
      </c>
      <c r="AD155" s="52">
        <f>(SUBSIDIO!$J$155*SUBSIDIO!$Y$155)*(0.02)/(1-0.02)</f>
        <v>0</v>
      </c>
      <c r="AE155" s="52">
        <f ca="1">((SUBSIDIO!$L$155*SUBSIDIO!$Z$155)+(SUBSIDIO!$N$155*SUBSIDIO!$AA$155))*(0.02)/(1-0.02)</f>
        <v>400.75960606993459</v>
      </c>
      <c r="AF155" s="3" t="s">
        <v>610</v>
      </c>
    </row>
    <row r="156" spans="1:32" ht="11.25" customHeight="1" x14ac:dyDescent="0.25">
      <c r="A156" s="3" t="s">
        <v>21</v>
      </c>
      <c r="B156" s="3" t="s">
        <v>35</v>
      </c>
      <c r="C156" s="3" t="s">
        <v>36</v>
      </c>
      <c r="D156" s="3" t="s">
        <v>41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44743</v>
      </c>
      <c r="J156" s="4">
        <v>0</v>
      </c>
      <c r="K156" s="52">
        <v>0</v>
      </c>
      <c r="L156" s="4">
        <v>6.0789999999999997</v>
      </c>
      <c r="M156" s="52">
        <v>6.0789999999999997</v>
      </c>
      <c r="N156" s="4">
        <v>6.0789999999999997</v>
      </c>
      <c r="O156" s="52">
        <v>6.0789999999999997</v>
      </c>
      <c r="P156" s="4">
        <v>0</v>
      </c>
      <c r="Q156" s="3" t="s">
        <v>26</v>
      </c>
      <c r="R156" s="3">
        <v>0</v>
      </c>
      <c r="S156" s="3">
        <v>0</v>
      </c>
      <c r="T156" s="3">
        <v>33</v>
      </c>
      <c r="U156" s="3">
        <v>51</v>
      </c>
      <c r="V156" s="52">
        <f>IF(ISERROR(VLOOKUP($S$156,'TAR FIN'!$A$1:$O$85,15,0)),0,VLOOKUP($S$156,'TAR FIN'!$A$1:$O$85,15,0))</f>
        <v>0</v>
      </c>
      <c r="W156" s="52">
        <f>IF(ISERROR(VLOOKUP($T$156,'TAR FIN'!$A$1:$O$85,15,0)),0,VLOOKUP($T$156,'TAR FIN'!$A$1:$O$85,15,0))*(1-0.04)</f>
        <v>1859.4623999999999</v>
      </c>
      <c r="X156" s="52">
        <f>IF(ISERROR(VLOOKUP($U$156,'TAR FIN'!$A$1:$O$85,15,0)),0,VLOOKUP($U$156,'TAR FIN'!$A$1:$O$85,15,0))*(1-0.04)</f>
        <v>257.1936</v>
      </c>
      <c r="Y156" s="52"/>
      <c r="Z156" s="52">
        <f ca="1">('TUSD BE'!$AM$11+'TUSD BF'!$AM$11+'TUSD CVA'!$AM$11)*1*(1-0.02)</f>
        <v>2163.0303623265568</v>
      </c>
      <c r="AA156" s="52">
        <f>('TE BE'!$AB$5+'TE BF'!$AB$5+'TE CVA'!$AB$5)*1*(1-0.02)</f>
        <v>181.71240751544846</v>
      </c>
      <c r="AB156" s="52">
        <f>(SUBSIDIO!$J$156*SUBSIDIO!$V$156)*(0.04)/(1-0.04)</f>
        <v>0</v>
      </c>
      <c r="AC156" s="52">
        <f>((SUBSIDIO!$L$156*SUBSIDIO!$W$156)+(SUBSIDIO!$N$156*SUBSIDIO!$X$156))*(0.04)/(1-0.04)</f>
        <v>536.13132599999994</v>
      </c>
      <c r="AD156" s="52">
        <f>(SUBSIDIO!$J$156*SUBSIDIO!$Y$156)*(0.02)/(1-0.02)</f>
        <v>0</v>
      </c>
      <c r="AE156" s="52">
        <f ca="1">((SUBSIDIO!$L$156*SUBSIDIO!$Z$156)+(SUBSIDIO!$N$156*SUBSIDIO!$AA$156))*(0.02)/(1-0.02)</f>
        <v>290.89165914019486</v>
      </c>
      <c r="AF156" s="3" t="s">
        <v>610</v>
      </c>
    </row>
    <row r="157" spans="1:32" ht="11.25" customHeight="1" x14ac:dyDescent="0.25">
      <c r="A157" s="3" t="s">
        <v>21</v>
      </c>
      <c r="B157" s="3" t="s">
        <v>35</v>
      </c>
      <c r="C157" s="3" t="s">
        <v>36</v>
      </c>
      <c r="D157" s="3" t="s">
        <v>41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44774</v>
      </c>
      <c r="J157" s="4">
        <v>0</v>
      </c>
      <c r="K157" s="52">
        <v>0</v>
      </c>
      <c r="L157" s="4">
        <v>7.3</v>
      </c>
      <c r="M157" s="52">
        <v>7.3</v>
      </c>
      <c r="N157" s="4">
        <v>7.3</v>
      </c>
      <c r="O157" s="52">
        <v>7.3</v>
      </c>
      <c r="P157" s="4">
        <v>0</v>
      </c>
      <c r="Q157" s="3" t="s">
        <v>26</v>
      </c>
      <c r="R157" s="3">
        <v>0</v>
      </c>
      <c r="S157" s="3">
        <v>0</v>
      </c>
      <c r="T157" s="3">
        <v>33</v>
      </c>
      <c r="U157" s="3">
        <v>51</v>
      </c>
      <c r="V157" s="52">
        <f>IF(ISERROR(VLOOKUP($S$157,'TAR FIN'!$A$1:$O$85,15,0)),0,VLOOKUP($S$157,'TAR FIN'!$A$1:$O$85,15,0))</f>
        <v>0</v>
      </c>
      <c r="W157" s="52">
        <f>IF(ISERROR(VLOOKUP($T$157,'TAR FIN'!$A$1:$O$85,15,0)),0,VLOOKUP($T$157,'TAR FIN'!$A$1:$O$85,15,0))*(1-0.04)</f>
        <v>1859.4623999999999</v>
      </c>
      <c r="X157" s="52">
        <f>IF(ISERROR(VLOOKUP($U$157,'TAR FIN'!$A$1:$O$85,15,0)),0,VLOOKUP($U$157,'TAR FIN'!$A$1:$O$85,15,0))*(1-0.04)</f>
        <v>257.1936</v>
      </c>
      <c r="Y157" s="52"/>
      <c r="Z157" s="52">
        <f ca="1">('TUSD BE'!$AM$11+'TUSD BF'!$AM$11+'TUSD CVA'!$AM$11)*1*(1-0.02)</f>
        <v>2163.0303623265568</v>
      </c>
      <c r="AA157" s="52">
        <f>('TE BE'!$AB$5+'TE BF'!$AB$5+'TE CVA'!$AB$5)*1*(1-0.02)</f>
        <v>181.71240751544846</v>
      </c>
      <c r="AB157" s="52">
        <f>(SUBSIDIO!$J$157*SUBSIDIO!$V$157)*(0.04)/(1-0.04)</f>
        <v>0</v>
      </c>
      <c r="AC157" s="52">
        <f>((SUBSIDIO!$L$157*SUBSIDIO!$W$157)+(SUBSIDIO!$N$157*SUBSIDIO!$X$157))*(0.04)/(1-0.04)</f>
        <v>643.81619999999998</v>
      </c>
      <c r="AD157" s="52">
        <f>(SUBSIDIO!$J$157*SUBSIDIO!$Y$157)*(0.02)/(1-0.02)</f>
        <v>0</v>
      </c>
      <c r="AE157" s="52">
        <f ca="1">((SUBSIDIO!$L$157*SUBSIDIO!$Z$157)+(SUBSIDIO!$N$157*SUBSIDIO!$AA$157))*(0.02)/(1-0.02)</f>
        <v>349.31882081319674</v>
      </c>
      <c r="AF157" s="3" t="s">
        <v>610</v>
      </c>
    </row>
    <row r="158" spans="1:32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25</v>
      </c>
      <c r="I158" s="6">
        <v>44440</v>
      </c>
      <c r="J158" s="4">
        <v>0</v>
      </c>
      <c r="K158" s="4">
        <v>0</v>
      </c>
      <c r="L158" s="4">
        <v>544.54100000000005</v>
      </c>
      <c r="M158" s="4">
        <v>544.54100000000005</v>
      </c>
      <c r="N158" s="4">
        <v>544.54100000000005</v>
      </c>
      <c r="O158" s="4">
        <v>544.54100000000005</v>
      </c>
      <c r="P158" s="4">
        <v>3503</v>
      </c>
      <c r="Q158" s="3" t="s">
        <v>26</v>
      </c>
      <c r="R158" s="3">
        <v>0</v>
      </c>
      <c r="S158" s="3">
        <v>0</v>
      </c>
      <c r="T158" s="3">
        <v>6</v>
      </c>
      <c r="U158" s="3">
        <v>32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367.75</v>
      </c>
      <c r="X158" s="4">
        <f>IF(ISERROR(VLOOKUP($U$158,'TAR FIN'!$A$1:$O$85,15,0)),0,VLOOKUP($U$158,'TAR FIN'!$A$1:$O$85,15,0))</f>
        <v>267.91000000000003</v>
      </c>
      <c r="Y158" s="4"/>
      <c r="Z158" s="4">
        <f ca="1">('TUSD BE'!$AM$20+'TUSD BF'!$AM$20+'TUSD CVA'!$AM$20)*1</f>
        <v>437.60278231454038</v>
      </c>
      <c r="AA158" s="4">
        <f>('TE BE'!$AB$10+'TE BF'!$AB$10+'TE CVA'!$AB$10)*1</f>
        <v>185.42082399535556</v>
      </c>
      <c r="AB158" s="4">
        <f t="shared" ref="AB158:AB193" si="12">(J158-K158)*V158</f>
        <v>0</v>
      </c>
      <c r="AC158" s="4">
        <f t="shared" ref="AC158" si="13">(L158-M158)*W158+(N158-O158)*X158</f>
        <v>0</v>
      </c>
      <c r="AD158" s="4">
        <f t="shared" ref="AD158:AD193" si="14">(J158-K158)*Y158</f>
        <v>0</v>
      </c>
      <c r="AE158" s="4">
        <f t="shared" ref="AE158" ca="1" si="15">(L158-M158)*Z158+(N158-O158)*AA158</f>
        <v>0</v>
      </c>
    </row>
    <row r="159" spans="1:32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29</v>
      </c>
      <c r="F159" s="3" t="s">
        <v>25</v>
      </c>
      <c r="G159" s="3" t="s">
        <v>25</v>
      </c>
      <c r="H159" s="3" t="s">
        <v>25</v>
      </c>
      <c r="I159" s="6">
        <v>44440</v>
      </c>
      <c r="J159" s="4">
        <v>0</v>
      </c>
      <c r="K159" s="4">
        <v>0</v>
      </c>
      <c r="L159" s="4">
        <v>4.38</v>
      </c>
      <c r="M159" s="4">
        <v>4.38</v>
      </c>
      <c r="N159" s="4">
        <v>4.38</v>
      </c>
      <c r="O159" s="4">
        <v>4.38</v>
      </c>
      <c r="P159" s="4">
        <v>2</v>
      </c>
      <c r="Q159" s="3" t="s">
        <v>26</v>
      </c>
      <c r="R159" s="3">
        <v>0</v>
      </c>
      <c r="S159" s="3">
        <v>0</v>
      </c>
      <c r="T159" s="3">
        <v>5</v>
      </c>
      <c r="U159" s="3">
        <v>31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109.18</v>
      </c>
      <c r="X159" s="4">
        <f>IF(ISERROR(VLOOKUP($U$159,'TAR FIN'!$A$1:$O$85,15,0)),0,VLOOKUP($U$159,'TAR FIN'!$A$1:$O$85,15,0))</f>
        <v>93.77</v>
      </c>
      <c r="Y159" s="4"/>
      <c r="Z159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59" s="4">
        <f>('TE BE'!$AB$11+'TE BF'!$AB$11+'TE CVA'!$AB$11)*(1-CUSTOS!$M$34)</f>
        <v>64.897288398374442</v>
      </c>
      <c r="AB159" s="4">
        <f t="shared" si="12"/>
        <v>0</v>
      </c>
      <c r="AC159" s="4">
        <f>(L159-M159)*(W159+X159)+($W$198+$X$198-$W$159-$X$159)*(L159)</f>
        <v>1650.7782000000002</v>
      </c>
      <c r="AD159" s="4">
        <f t="shared" si="14"/>
        <v>0</v>
      </c>
      <c r="AE159" s="4">
        <f ca="1">(L159-M159)*(Z159+AA159)+($Z$198+$AA$198-$Z$159-$AA$159)*(L159)</f>
        <v>1462.2658947237355</v>
      </c>
      <c r="AF159" s="3" t="s">
        <v>612</v>
      </c>
    </row>
    <row r="160" spans="1:32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29</v>
      </c>
      <c r="F160" s="3" t="s">
        <v>25</v>
      </c>
      <c r="G160" s="3" t="s">
        <v>25</v>
      </c>
      <c r="H160" s="3" t="s">
        <v>25</v>
      </c>
      <c r="I160" s="6">
        <v>44470</v>
      </c>
      <c r="J160" s="4">
        <v>0</v>
      </c>
      <c r="K160" s="4">
        <v>0</v>
      </c>
      <c r="L160" s="4">
        <v>4.47</v>
      </c>
      <c r="M160" s="4">
        <v>4.47</v>
      </c>
      <c r="N160" s="4">
        <v>4.47</v>
      </c>
      <c r="O160" s="4">
        <v>4.47</v>
      </c>
      <c r="P160" s="4">
        <v>2</v>
      </c>
      <c r="Q160" s="3" t="s">
        <v>26</v>
      </c>
      <c r="R160" s="3">
        <v>0</v>
      </c>
      <c r="S160" s="3">
        <v>0</v>
      </c>
      <c r="T160" s="3">
        <v>5</v>
      </c>
      <c r="U160" s="3">
        <v>31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109.18</v>
      </c>
      <c r="X160" s="4">
        <f>IF(ISERROR(VLOOKUP($U$160,'TAR FIN'!$A$1:$O$85,15,0)),0,VLOOKUP($U$160,'TAR FIN'!$A$1:$O$85,15,0))</f>
        <v>93.77</v>
      </c>
      <c r="Y160" s="4"/>
      <c r="Z160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0" s="4">
        <f>('TE BE'!$AB$11+'TE BF'!$AB$11+'TE CVA'!$AB$11)*(1-CUSTOS!$M$34)</f>
        <v>64.897288398374442</v>
      </c>
      <c r="AB160" s="4">
        <f t="shared" si="12"/>
        <v>0</v>
      </c>
      <c r="AC160" s="4">
        <f>(L160-M160)*(W160+X160)+($W$198+$X$198-$W$160-$X$160)*(L160)</f>
        <v>1684.6983</v>
      </c>
      <c r="AD160" s="4">
        <f t="shared" si="14"/>
        <v>0</v>
      </c>
      <c r="AE160" s="4">
        <f ca="1">(L160-M160)*(Z160+AA160)+($Z$198+$AA$198-$Z$160-$AA$160)*(L160)</f>
        <v>1492.3124542043604</v>
      </c>
      <c r="AF160" s="3" t="s">
        <v>612</v>
      </c>
    </row>
    <row r="161" spans="1:32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29</v>
      </c>
      <c r="F161" s="3" t="s">
        <v>25</v>
      </c>
      <c r="G161" s="3" t="s">
        <v>25</v>
      </c>
      <c r="H161" s="3" t="s">
        <v>25</v>
      </c>
      <c r="I161" s="6">
        <v>44501</v>
      </c>
      <c r="J161" s="4">
        <v>0</v>
      </c>
      <c r="K161" s="4">
        <v>0</v>
      </c>
      <c r="L161" s="4">
        <v>4.5599999999999996</v>
      </c>
      <c r="M161" s="4">
        <v>4.5599999999999996</v>
      </c>
      <c r="N161" s="4">
        <v>4.5599999999999996</v>
      </c>
      <c r="O161" s="4">
        <v>4.5599999999999996</v>
      </c>
      <c r="P161" s="4">
        <v>1</v>
      </c>
      <c r="Q161" s="3" t="s">
        <v>26</v>
      </c>
      <c r="R161" s="3">
        <v>0</v>
      </c>
      <c r="S161" s="3">
        <v>0</v>
      </c>
      <c r="T161" s="3">
        <v>5</v>
      </c>
      <c r="U161" s="3">
        <v>31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109.18</v>
      </c>
      <c r="X161" s="4">
        <f>IF(ISERROR(VLOOKUP($U$161,'TAR FIN'!$A$1:$O$85,15,0)),0,VLOOKUP($U$161,'TAR FIN'!$A$1:$O$85,15,0))</f>
        <v>93.77</v>
      </c>
      <c r="Y161" s="4"/>
      <c r="Z161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1" s="4">
        <f>('TE BE'!$AB$11+'TE BF'!$AB$11+'TE CVA'!$AB$11)*(1-CUSTOS!$M$34)</f>
        <v>64.897288398374442</v>
      </c>
      <c r="AB161" s="4">
        <f t="shared" si="12"/>
        <v>0</v>
      </c>
      <c r="AC161" s="4">
        <f>(L161-M161)*(W161+X161)+($W$198+$X$198-$W$161-$X$161)*(L161)</f>
        <v>1718.6184000000001</v>
      </c>
      <c r="AD161" s="4">
        <f t="shared" si="14"/>
        <v>0</v>
      </c>
      <c r="AE161" s="4">
        <f ca="1">(L161-M161)*(Z161+AA161)+($Z$198+$AA$198-$Z$161-$AA$161)*(L161)</f>
        <v>1522.359013684985</v>
      </c>
      <c r="AF161" s="3" t="s">
        <v>612</v>
      </c>
    </row>
    <row r="162" spans="1:32" ht="11.25" customHeight="1" x14ac:dyDescent="0.25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29</v>
      </c>
      <c r="F162" s="3" t="s">
        <v>25</v>
      </c>
      <c r="G162" s="3" t="s">
        <v>25</v>
      </c>
      <c r="H162" s="3" t="s">
        <v>25</v>
      </c>
      <c r="I162" s="6">
        <v>44531</v>
      </c>
      <c r="J162" s="4">
        <v>0</v>
      </c>
      <c r="K162" s="4">
        <v>0</v>
      </c>
      <c r="L162" s="4">
        <v>5.01</v>
      </c>
      <c r="M162" s="4">
        <v>5.01</v>
      </c>
      <c r="N162" s="4">
        <v>5.01</v>
      </c>
      <c r="O162" s="4">
        <v>5.01</v>
      </c>
      <c r="P162" s="4">
        <v>2</v>
      </c>
      <c r="Q162" s="3" t="s">
        <v>26</v>
      </c>
      <c r="R162" s="3">
        <v>0</v>
      </c>
      <c r="S162" s="3">
        <v>0</v>
      </c>
      <c r="T162" s="3">
        <v>5</v>
      </c>
      <c r="U162" s="3">
        <v>31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109.18</v>
      </c>
      <c r="X162" s="4">
        <f>IF(ISERROR(VLOOKUP($U$162,'TAR FIN'!$A$1:$O$85,15,0)),0,VLOOKUP($U$162,'TAR FIN'!$A$1:$O$85,15,0))</f>
        <v>93.77</v>
      </c>
      <c r="Y162" s="4"/>
      <c r="Z162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2" s="4">
        <f>('TE BE'!$AB$11+'TE BF'!$AB$11+'TE CVA'!$AB$11)*(1-CUSTOS!$M$34)</f>
        <v>64.897288398374442</v>
      </c>
      <c r="AB162" s="4">
        <f t="shared" si="12"/>
        <v>0</v>
      </c>
      <c r="AC162" s="4">
        <f>(L162-M162)*(W162+X162)+($W$198+$X$198-$W$162-$X$162)*(L162)</f>
        <v>1888.2189000000001</v>
      </c>
      <c r="AD162" s="4">
        <f t="shared" si="14"/>
        <v>0</v>
      </c>
      <c r="AE162" s="4">
        <f ca="1">(L162-M162)*(Z162+AA162)+($Z$198+$AA$198-$Z$162-$AA$162)*(L162)</f>
        <v>1672.5918110881084</v>
      </c>
      <c r="AF162" s="3" t="s">
        <v>612</v>
      </c>
    </row>
    <row r="163" spans="1:32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29</v>
      </c>
      <c r="F163" s="3" t="s">
        <v>25</v>
      </c>
      <c r="G163" s="3" t="s">
        <v>25</v>
      </c>
      <c r="H163" s="3" t="s">
        <v>25</v>
      </c>
      <c r="I163" s="6">
        <v>44562</v>
      </c>
      <c r="J163" s="4">
        <v>0</v>
      </c>
      <c r="K163" s="4">
        <v>0</v>
      </c>
      <c r="L163" s="4">
        <v>4.92</v>
      </c>
      <c r="M163" s="4">
        <v>4.92</v>
      </c>
      <c r="N163" s="4">
        <v>4.92</v>
      </c>
      <c r="O163" s="4">
        <v>4.92</v>
      </c>
      <c r="P163" s="4">
        <v>0</v>
      </c>
      <c r="Q163" s="3" t="s">
        <v>26</v>
      </c>
      <c r="R163" s="3">
        <v>0</v>
      </c>
      <c r="S163" s="3">
        <v>0</v>
      </c>
      <c r="T163" s="3">
        <v>5</v>
      </c>
      <c r="U163" s="3">
        <v>31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109.18</v>
      </c>
      <c r="X163" s="4">
        <f>IF(ISERROR(VLOOKUP($U$163,'TAR FIN'!$A$1:$O$85,15,0)),0,VLOOKUP($U$163,'TAR FIN'!$A$1:$O$85,15,0))</f>
        <v>93.77</v>
      </c>
      <c r="Y163" s="4"/>
      <c r="Z163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3" s="4">
        <f>('TE BE'!$AB$11+'TE BF'!$AB$11+'TE CVA'!$AB$11)*(1-CUSTOS!$M$34)</f>
        <v>64.897288398374442</v>
      </c>
      <c r="AB163" s="4">
        <f t="shared" si="12"/>
        <v>0</v>
      </c>
      <c r="AC163" s="4">
        <f>(L163-M163)*(W163+X163)+($W$198+$X$198-$W$163-$X$163)*(L163)</f>
        <v>1854.2988000000003</v>
      </c>
      <c r="AD163" s="4">
        <f t="shared" si="14"/>
        <v>0</v>
      </c>
      <c r="AE163" s="4">
        <f ca="1">(L163-M163)*(Z163+AA163)+($Z$198+$AA$198-$Z$163-$AA$163)*(L163)</f>
        <v>1642.5452516074838</v>
      </c>
      <c r="AF163" s="3" t="s">
        <v>612</v>
      </c>
    </row>
    <row r="164" spans="1:32" ht="11.25" customHeight="1" x14ac:dyDescent="0.25">
      <c r="A164" s="3" t="s">
        <v>27</v>
      </c>
      <c r="B164" s="3" t="s">
        <v>22</v>
      </c>
      <c r="C164" s="3" t="s">
        <v>23</v>
      </c>
      <c r="D164" s="3" t="s">
        <v>24</v>
      </c>
      <c r="E164" s="3" t="s">
        <v>29</v>
      </c>
      <c r="F164" s="3" t="s">
        <v>25</v>
      </c>
      <c r="G164" s="3" t="s">
        <v>25</v>
      </c>
      <c r="H164" s="3" t="s">
        <v>25</v>
      </c>
      <c r="I164" s="6">
        <v>44562</v>
      </c>
      <c r="J164" s="4">
        <v>0</v>
      </c>
      <c r="K164" s="4">
        <v>0</v>
      </c>
      <c r="L164" s="4">
        <v>-0.03</v>
      </c>
      <c r="M164" s="4">
        <v>-0.03</v>
      </c>
      <c r="N164" s="4">
        <v>-0.03</v>
      </c>
      <c r="O164" s="4">
        <v>-0.03</v>
      </c>
      <c r="P164" s="4">
        <v>0</v>
      </c>
      <c r="Q164" s="3" t="s">
        <v>26</v>
      </c>
      <c r="R164" s="3">
        <v>0</v>
      </c>
      <c r="S164" s="3">
        <v>0</v>
      </c>
      <c r="T164" s="3">
        <v>5</v>
      </c>
      <c r="U164" s="3">
        <v>31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109.18</v>
      </c>
      <c r="X164" s="4">
        <f>IF(ISERROR(VLOOKUP($U$164,'TAR FIN'!$A$1:$O$85,15,0)),0,VLOOKUP($U$164,'TAR FIN'!$A$1:$O$85,15,0))</f>
        <v>93.77</v>
      </c>
      <c r="Y164" s="4"/>
      <c r="Z164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4" s="4">
        <f>('TE BE'!$AB$11+'TE BF'!$AB$11+'TE CVA'!$AB$11)*(1-CUSTOS!$M$34)</f>
        <v>64.897288398374442</v>
      </c>
      <c r="AB164" s="4">
        <f t="shared" si="12"/>
        <v>0</v>
      </c>
      <c r="AC164" s="4">
        <f>(L164-M164)*(W164+X164)+($W$198+$X$198-$W$164-$X$164)*(L164)</f>
        <v>-11.306700000000001</v>
      </c>
      <c r="AD164" s="4">
        <f t="shared" si="14"/>
        <v>0</v>
      </c>
      <c r="AE164" s="4">
        <f ca="1">(L164-M164)*(Z164+AA164)+($Z$198+$AA$198-$Z$164-$AA$164)*(L164)</f>
        <v>-10.015519826874902</v>
      </c>
      <c r="AF164" s="3" t="s">
        <v>612</v>
      </c>
    </row>
    <row r="165" spans="1:32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29</v>
      </c>
      <c r="F165" s="3" t="s">
        <v>25</v>
      </c>
      <c r="G165" s="3" t="s">
        <v>25</v>
      </c>
      <c r="H165" s="3" t="s">
        <v>25</v>
      </c>
      <c r="I165" s="6">
        <v>44593</v>
      </c>
      <c r="J165" s="4">
        <v>0</v>
      </c>
      <c r="K165" s="4">
        <v>0</v>
      </c>
      <c r="L165" s="4">
        <v>5.58</v>
      </c>
      <c r="M165" s="4">
        <v>5.58</v>
      </c>
      <c r="N165" s="4">
        <v>5.58</v>
      </c>
      <c r="O165" s="4">
        <v>5.58</v>
      </c>
      <c r="P165" s="4">
        <v>0</v>
      </c>
      <c r="Q165" s="3" t="s">
        <v>26</v>
      </c>
      <c r="R165" s="3">
        <v>0</v>
      </c>
      <c r="S165" s="3">
        <v>0</v>
      </c>
      <c r="T165" s="3">
        <v>5</v>
      </c>
      <c r="U165" s="3">
        <v>31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109.18</v>
      </c>
      <c r="X165" s="4">
        <f>IF(ISERROR(VLOOKUP($U$165,'TAR FIN'!$A$1:$O$85,15,0)),0,VLOOKUP($U$165,'TAR FIN'!$A$1:$O$85,15,0))</f>
        <v>93.77</v>
      </c>
      <c r="Y165" s="4"/>
      <c r="Z165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5" s="4">
        <f>('TE BE'!$AB$11+'TE BF'!$AB$11+'TE CVA'!$AB$11)*(1-CUSTOS!$M$34)</f>
        <v>64.897288398374442</v>
      </c>
      <c r="AB165" s="4">
        <f t="shared" si="12"/>
        <v>0</v>
      </c>
      <c r="AC165" s="4">
        <f>(L165-M165)*(W165+X165)+($W$198+$X$198-$W$165-$X$165)*(L165)</f>
        <v>2103.0462000000002</v>
      </c>
      <c r="AD165" s="4">
        <f t="shared" si="14"/>
        <v>0</v>
      </c>
      <c r="AE165" s="4">
        <f ca="1">(L165-M165)*(Z165+AA165)+($Z$198+$AA$198-$Z$165-$AA$165)*(L165)</f>
        <v>1862.8866877987318</v>
      </c>
      <c r="AF165" s="3" t="s">
        <v>612</v>
      </c>
    </row>
    <row r="166" spans="1:32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29</v>
      </c>
      <c r="F166" s="3" t="s">
        <v>25</v>
      </c>
      <c r="G166" s="3" t="s">
        <v>25</v>
      </c>
      <c r="H166" s="3" t="s">
        <v>25</v>
      </c>
      <c r="I166" s="6">
        <v>44621</v>
      </c>
      <c r="J166" s="4">
        <v>0</v>
      </c>
      <c r="K166" s="4">
        <v>0</v>
      </c>
      <c r="L166" s="4">
        <v>6.78</v>
      </c>
      <c r="M166" s="4">
        <v>6.78</v>
      </c>
      <c r="N166" s="4">
        <v>6.78</v>
      </c>
      <c r="O166" s="4">
        <v>6.78</v>
      </c>
      <c r="P166" s="4">
        <v>3</v>
      </c>
      <c r="Q166" s="3" t="s">
        <v>26</v>
      </c>
      <c r="R166" s="3">
        <v>0</v>
      </c>
      <c r="S166" s="3">
        <v>0</v>
      </c>
      <c r="T166" s="3">
        <v>5</v>
      </c>
      <c r="U166" s="3">
        <v>31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109.18</v>
      </c>
      <c r="X166" s="4">
        <f>IF(ISERROR(VLOOKUP($U$166,'TAR FIN'!$A$1:$O$85,15,0)),0,VLOOKUP($U$166,'TAR FIN'!$A$1:$O$85,15,0))</f>
        <v>93.77</v>
      </c>
      <c r="Y166" s="4"/>
      <c r="Z166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6" s="4">
        <f>('TE BE'!$AB$11+'TE BF'!$AB$11+'TE CVA'!$AB$11)*(1-CUSTOS!$M$34)</f>
        <v>64.897288398374442</v>
      </c>
      <c r="AB166" s="4">
        <f t="shared" si="12"/>
        <v>0</v>
      </c>
      <c r="AC166" s="4">
        <f>(L166-M166)*(W166+X166)+($W$198+$X$198-$W$166-$X$166)*(L166)</f>
        <v>2555.3142000000003</v>
      </c>
      <c r="AD166" s="4">
        <f t="shared" si="14"/>
        <v>0</v>
      </c>
      <c r="AE166" s="4">
        <f ca="1">(L166-M166)*(Z166+AA166)+($Z$198+$AA$198-$Z$166-$AA$166)*(L166)</f>
        <v>2263.5074808737277</v>
      </c>
      <c r="AF166" s="3" t="s">
        <v>612</v>
      </c>
    </row>
    <row r="167" spans="1:32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29</v>
      </c>
      <c r="F167" s="3" t="s">
        <v>25</v>
      </c>
      <c r="G167" s="3" t="s">
        <v>25</v>
      </c>
      <c r="H167" s="3" t="s">
        <v>25</v>
      </c>
      <c r="I167" s="6">
        <v>44652</v>
      </c>
      <c r="J167" s="4">
        <v>0</v>
      </c>
      <c r="K167" s="4">
        <v>0</v>
      </c>
      <c r="L167" s="4">
        <v>6.99</v>
      </c>
      <c r="M167" s="4">
        <v>6.99</v>
      </c>
      <c r="N167" s="4">
        <v>6.99</v>
      </c>
      <c r="O167" s="4">
        <v>6.99</v>
      </c>
      <c r="P167" s="4">
        <v>3</v>
      </c>
      <c r="Q167" s="3" t="s">
        <v>26</v>
      </c>
      <c r="R167" s="3">
        <v>0</v>
      </c>
      <c r="S167" s="3">
        <v>0</v>
      </c>
      <c r="T167" s="3">
        <v>5</v>
      </c>
      <c r="U167" s="3">
        <v>31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109.18</v>
      </c>
      <c r="X167" s="4">
        <f>IF(ISERROR(VLOOKUP($U$167,'TAR FIN'!$A$1:$O$85,15,0)),0,VLOOKUP($U$167,'TAR FIN'!$A$1:$O$85,15,0))</f>
        <v>93.77</v>
      </c>
      <c r="Y167" s="4"/>
      <c r="Z167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7" s="4">
        <f>('TE BE'!$AB$11+'TE BF'!$AB$11+'TE CVA'!$AB$11)*(1-CUSTOS!$M$34)</f>
        <v>64.897288398374442</v>
      </c>
      <c r="AB167" s="4">
        <f t="shared" si="12"/>
        <v>0</v>
      </c>
      <c r="AC167" s="4">
        <f>(L167-M167)*(W167+X167)+($W$198+$X$198-$W$167-$X$167)*(L167)</f>
        <v>2634.4611000000004</v>
      </c>
      <c r="AD167" s="4">
        <f t="shared" si="14"/>
        <v>0</v>
      </c>
      <c r="AE167" s="4">
        <f ca="1">(L167-M167)*(Z167+AA167)+($Z$198+$AA$198-$Z$167-$AA$167)*(L167)</f>
        <v>2333.6161196618523</v>
      </c>
      <c r="AF167" s="3" t="s">
        <v>612</v>
      </c>
    </row>
    <row r="168" spans="1:32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29</v>
      </c>
      <c r="F168" s="3" t="s">
        <v>25</v>
      </c>
      <c r="G168" s="3" t="s">
        <v>25</v>
      </c>
      <c r="H168" s="3" t="s">
        <v>25</v>
      </c>
      <c r="I168" s="6">
        <v>44682</v>
      </c>
      <c r="J168" s="4">
        <v>0</v>
      </c>
      <c r="K168" s="4">
        <v>0</v>
      </c>
      <c r="L168" s="4">
        <v>7.17</v>
      </c>
      <c r="M168" s="4">
        <v>7.17</v>
      </c>
      <c r="N168" s="4">
        <v>7.17</v>
      </c>
      <c r="O168" s="4">
        <v>7.17</v>
      </c>
      <c r="P168" s="4">
        <v>6</v>
      </c>
      <c r="Q168" s="3" t="s">
        <v>26</v>
      </c>
      <c r="R168" s="3">
        <v>0</v>
      </c>
      <c r="S168" s="3">
        <v>0</v>
      </c>
      <c r="T168" s="3">
        <v>5</v>
      </c>
      <c r="U168" s="3">
        <v>31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109.18</v>
      </c>
      <c r="X168" s="4">
        <f>IF(ISERROR(VLOOKUP($U$168,'TAR FIN'!$A$1:$O$85,15,0)),0,VLOOKUP($U$168,'TAR FIN'!$A$1:$O$85,15,0))</f>
        <v>93.77</v>
      </c>
      <c r="Y168" s="4"/>
      <c r="Z168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8" s="4">
        <f>('TE BE'!$AB$11+'TE BF'!$AB$11+'TE CVA'!$AB$11)*(1-CUSTOS!$M$34)</f>
        <v>64.897288398374442</v>
      </c>
      <c r="AB168" s="4">
        <f t="shared" si="12"/>
        <v>0</v>
      </c>
      <c r="AC168" s="4">
        <f>(L168-M168)*(W168+X168)+($W$198+$X$198-$W$168-$X$168)*(L168)</f>
        <v>2702.3013000000001</v>
      </c>
      <c r="AD168" s="4">
        <f t="shared" si="14"/>
        <v>0</v>
      </c>
      <c r="AE168" s="4">
        <f ca="1">(L168-M168)*(Z168+AA168)+($Z$198+$AA$198-$Z$168-$AA$168)*(L168)</f>
        <v>2393.7092386231016</v>
      </c>
      <c r="AF168" s="3" t="s">
        <v>612</v>
      </c>
    </row>
    <row r="169" spans="1:32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29</v>
      </c>
      <c r="F169" s="3" t="s">
        <v>25</v>
      </c>
      <c r="G169" s="3" t="s">
        <v>25</v>
      </c>
      <c r="H169" s="3" t="s">
        <v>25</v>
      </c>
      <c r="I169" s="6">
        <v>44713</v>
      </c>
      <c r="J169" s="4">
        <v>0</v>
      </c>
      <c r="K169" s="4">
        <v>0</v>
      </c>
      <c r="L169" s="4">
        <v>6.6</v>
      </c>
      <c r="M169" s="4">
        <v>6.6</v>
      </c>
      <c r="N169" s="4">
        <v>6.6</v>
      </c>
      <c r="O169" s="4">
        <v>6.6</v>
      </c>
      <c r="P169" s="4">
        <v>2</v>
      </c>
      <c r="Q169" s="3" t="s">
        <v>26</v>
      </c>
      <c r="R169" s="3">
        <v>0</v>
      </c>
      <c r="S169" s="3">
        <v>0</v>
      </c>
      <c r="T169" s="3">
        <v>5</v>
      </c>
      <c r="U169" s="3">
        <v>31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109.18</v>
      </c>
      <c r="X169" s="4">
        <f>IF(ISERROR(VLOOKUP($U$169,'TAR FIN'!$A$1:$O$85,15,0)),0,VLOOKUP($U$169,'TAR FIN'!$A$1:$O$85,15,0))</f>
        <v>93.77</v>
      </c>
      <c r="Y169" s="4"/>
      <c r="Z169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69" s="4">
        <f>('TE BE'!$AB$11+'TE BF'!$AB$11+'TE CVA'!$AB$11)*(1-CUSTOS!$M$34)</f>
        <v>64.897288398374442</v>
      </c>
      <c r="AB169" s="4">
        <f t="shared" si="12"/>
        <v>0</v>
      </c>
      <c r="AC169" s="4">
        <f>(L169-M169)*(W169+X169)+($W$198+$X$198-$W$169-$X$169)*(L169)</f>
        <v>2487.4740000000002</v>
      </c>
      <c r="AD169" s="4">
        <f t="shared" si="14"/>
        <v>0</v>
      </c>
      <c r="AE169" s="4">
        <f ca="1">(L169-M169)*(Z169+AA169)+($Z$198+$AA$198-$Z$169-$AA$169)*(L169)</f>
        <v>2203.4143619124784</v>
      </c>
      <c r="AF169" s="3" t="s">
        <v>612</v>
      </c>
    </row>
    <row r="170" spans="1:32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29</v>
      </c>
      <c r="F170" s="3" t="s">
        <v>25</v>
      </c>
      <c r="G170" s="3" t="s">
        <v>25</v>
      </c>
      <c r="H170" s="3" t="s">
        <v>25</v>
      </c>
      <c r="I170" s="6">
        <v>44743</v>
      </c>
      <c r="J170" s="4">
        <v>0</v>
      </c>
      <c r="K170" s="4">
        <v>0</v>
      </c>
      <c r="L170" s="4">
        <v>6.66</v>
      </c>
      <c r="M170" s="4">
        <v>6.66</v>
      </c>
      <c r="N170" s="4">
        <v>6.66</v>
      </c>
      <c r="O170" s="4">
        <v>6.66</v>
      </c>
      <c r="P170" s="4">
        <v>7</v>
      </c>
      <c r="Q170" s="3" t="s">
        <v>26</v>
      </c>
      <c r="R170" s="3">
        <v>0</v>
      </c>
      <c r="S170" s="3">
        <v>0</v>
      </c>
      <c r="T170" s="3">
        <v>5</v>
      </c>
      <c r="U170" s="3">
        <v>31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109.18</v>
      </c>
      <c r="X170" s="4">
        <f>IF(ISERROR(VLOOKUP($U$170,'TAR FIN'!$A$1:$O$85,15,0)),0,VLOOKUP($U$170,'TAR FIN'!$A$1:$O$85,15,0))</f>
        <v>93.77</v>
      </c>
      <c r="Y170" s="4"/>
      <c r="Z170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70" s="4">
        <f>('TE BE'!$AB$11+'TE BF'!$AB$11+'TE CVA'!$AB$11)*(1-CUSTOS!$M$34)</f>
        <v>64.897288398374442</v>
      </c>
      <c r="AB170" s="4">
        <f t="shared" si="12"/>
        <v>0</v>
      </c>
      <c r="AC170" s="4">
        <f>(L170-M170)*(W170+X170)+($W$198+$X$198-$W$170-$X$170)*(L170)</f>
        <v>2510.0874000000003</v>
      </c>
      <c r="AD170" s="4">
        <f t="shared" si="14"/>
        <v>0</v>
      </c>
      <c r="AE170" s="4">
        <f ca="1">(L170-M170)*(Z170+AA170)+($Z$198+$AA$198-$Z$170-$AA$170)*(L170)</f>
        <v>2223.4454015662282</v>
      </c>
      <c r="AF170" s="3" t="s">
        <v>612</v>
      </c>
    </row>
    <row r="171" spans="1:32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29</v>
      </c>
      <c r="F171" s="3" t="s">
        <v>25</v>
      </c>
      <c r="G171" s="3" t="s">
        <v>25</v>
      </c>
      <c r="H171" s="3" t="s">
        <v>25</v>
      </c>
      <c r="I171" s="6">
        <v>44774</v>
      </c>
      <c r="J171" s="4">
        <v>0</v>
      </c>
      <c r="K171" s="4">
        <v>0</v>
      </c>
      <c r="L171" s="4">
        <v>6.48</v>
      </c>
      <c r="M171" s="4">
        <v>6.48</v>
      </c>
      <c r="N171" s="4">
        <v>6.48</v>
      </c>
      <c r="O171" s="4">
        <v>6.48</v>
      </c>
      <c r="P171" s="4">
        <v>5</v>
      </c>
      <c r="Q171" s="3" t="s">
        <v>26</v>
      </c>
      <c r="R171" s="3">
        <v>0</v>
      </c>
      <c r="S171" s="3">
        <v>0</v>
      </c>
      <c r="T171" s="3">
        <v>5</v>
      </c>
      <c r="U171" s="3">
        <v>31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109.18</v>
      </c>
      <c r="X171" s="4">
        <f>IF(ISERROR(VLOOKUP($U$171,'TAR FIN'!$A$1:$O$85,15,0)),0,VLOOKUP($U$171,'TAR FIN'!$A$1:$O$85,15,0))</f>
        <v>93.77</v>
      </c>
      <c r="Y171" s="4"/>
      <c r="Z171" s="4">
        <f ca="1">('TUSD BE'!$AM$21+'TUSD BF'!$AM$21+'TUSD CVA'!$AM$21-('TUSD BE'!$P$21+'TUSD BF'!$P$21+'TUSD CVA'!$P$21)-('TUSD BE'!$Q$21+'TUSD BF'!$Q$21+'TUSD CVA'!$Q$21)-('TUSD BE'!$R$21+'TUSD BF'!$R$21+'TUSD CVA'!$R$21))*(1-CUSTOS!$M$34)</f>
        <v>114.86845208399558</v>
      </c>
      <c r="AA171" s="4">
        <f>('TE BE'!$AB$11+'TE BF'!$AB$11+'TE CVA'!$AB$11)*(1-CUSTOS!$M$34)</f>
        <v>64.897288398374442</v>
      </c>
      <c r="AB171" s="4">
        <f t="shared" si="12"/>
        <v>0</v>
      </c>
      <c r="AC171" s="4">
        <f>(L171-M171)*(W171+X171)+($W$198+$X$198-$W$171-$X$171)*(L171)</f>
        <v>2442.2472000000002</v>
      </c>
      <c r="AD171" s="4">
        <f t="shared" si="14"/>
        <v>0</v>
      </c>
      <c r="AE171" s="4">
        <f ca="1">(L171-M171)*(Z171+AA171)+($Z$198+$AA$198-$Z$171-$AA$171)*(L171)</f>
        <v>2163.3522826049789</v>
      </c>
      <c r="AF171" s="3" t="s">
        <v>612</v>
      </c>
    </row>
    <row r="172" spans="1:32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30</v>
      </c>
      <c r="F172" s="3" t="s">
        <v>25</v>
      </c>
      <c r="G172" s="3" t="s">
        <v>25</v>
      </c>
      <c r="H172" s="3" t="s">
        <v>25</v>
      </c>
      <c r="I172" s="6">
        <v>44440</v>
      </c>
      <c r="J172" s="4">
        <v>0</v>
      </c>
      <c r="K172" s="4">
        <v>0</v>
      </c>
      <c r="L172" s="4">
        <v>9.3810000000000002</v>
      </c>
      <c r="M172" s="4">
        <v>9.3810000000000002</v>
      </c>
      <c r="N172" s="4">
        <v>9.3810000000000002</v>
      </c>
      <c r="O172" s="4">
        <v>9.3810000000000002</v>
      </c>
      <c r="P172" s="4">
        <v>26</v>
      </c>
      <c r="Q172" s="3" t="s">
        <v>26</v>
      </c>
      <c r="R172" s="3">
        <v>0</v>
      </c>
      <c r="S172" s="3">
        <v>0</v>
      </c>
      <c r="T172" s="3">
        <v>9</v>
      </c>
      <c r="U172" s="3">
        <v>37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187.16</v>
      </c>
      <c r="X172" s="4">
        <f>IF(ISERROR(VLOOKUP($U$172,'TAR FIN'!$A$1:$O$85,15,0)),0,VLOOKUP($U$172,'TAR FIN'!$A$1:$O$85,15,0))</f>
        <v>160.75</v>
      </c>
      <c r="Y172" s="4"/>
      <c r="Z172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2" s="4">
        <f>('TE BE'!$AB$12+'TE BF'!$AB$12+'TE CVA'!$AB$12)*(1-CUSTOS!$M$35)</f>
        <v>111.25249439721334</v>
      </c>
      <c r="AB172" s="4">
        <f t="shared" si="12"/>
        <v>0</v>
      </c>
      <c r="AC172" s="4">
        <f>(L172-M172)*(W172+X172)+($W$198+$X$198-$W$172-$X$172)*(L172)</f>
        <v>2175.7353300000004</v>
      </c>
      <c r="AD172" s="4">
        <f t="shared" si="14"/>
        <v>0</v>
      </c>
      <c r="AE172" s="4">
        <f ca="1">(L172-M172)*(Z172+AA172)+($Z$198+$AA$198-$Z$172-$AA$172)*(L172)</f>
        <v>1927.2941845315574</v>
      </c>
      <c r="AF172" s="3" t="s">
        <v>612</v>
      </c>
    </row>
    <row r="173" spans="1:32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30</v>
      </c>
      <c r="F173" s="3" t="s">
        <v>25</v>
      </c>
      <c r="G173" s="3" t="s">
        <v>25</v>
      </c>
      <c r="H173" s="3" t="s">
        <v>25</v>
      </c>
      <c r="I173" s="6">
        <v>44470</v>
      </c>
      <c r="J173" s="4">
        <v>0</v>
      </c>
      <c r="K173" s="4">
        <v>0</v>
      </c>
      <c r="L173" s="4">
        <v>9.577</v>
      </c>
      <c r="M173" s="4">
        <v>9.577</v>
      </c>
      <c r="N173" s="4">
        <v>9.577</v>
      </c>
      <c r="O173" s="4">
        <v>9.577</v>
      </c>
      <c r="P173" s="4">
        <v>24</v>
      </c>
      <c r="Q173" s="3" t="s">
        <v>26</v>
      </c>
      <c r="R173" s="3">
        <v>0</v>
      </c>
      <c r="S173" s="3">
        <v>0</v>
      </c>
      <c r="T173" s="3">
        <v>9</v>
      </c>
      <c r="U173" s="3">
        <v>37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187.16</v>
      </c>
      <c r="X173" s="4">
        <f>IF(ISERROR(VLOOKUP($U$173,'TAR FIN'!$A$1:$O$85,15,0)),0,VLOOKUP($U$173,'TAR FIN'!$A$1:$O$85,15,0))</f>
        <v>160.75</v>
      </c>
      <c r="Y173" s="4"/>
      <c r="Z173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3" s="4">
        <f>('TE BE'!$AB$12+'TE BF'!$AB$12+'TE CVA'!$AB$12)*(1-CUSTOS!$M$35)</f>
        <v>111.25249439721334</v>
      </c>
      <c r="AB173" s="4">
        <f t="shared" si="12"/>
        <v>0</v>
      </c>
      <c r="AC173" s="4">
        <f>(L173-M173)*(W173+X173)+($W$198+$X$198-$W$173-$X$173)*(L173)</f>
        <v>2221.1936100000007</v>
      </c>
      <c r="AD173" s="4">
        <f t="shared" si="14"/>
        <v>0</v>
      </c>
      <c r="AE173" s="4">
        <f ca="1">(L173-M173)*(Z173+AA173)+($Z$198+$AA$198-$Z$173-$AA$173)*(L173)</f>
        <v>1967.561710399608</v>
      </c>
      <c r="AF173" s="3" t="s">
        <v>612</v>
      </c>
    </row>
    <row r="174" spans="1:32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30</v>
      </c>
      <c r="F174" s="3" t="s">
        <v>25</v>
      </c>
      <c r="G174" s="3" t="s">
        <v>25</v>
      </c>
      <c r="H174" s="3" t="s">
        <v>25</v>
      </c>
      <c r="I174" s="6">
        <v>44501</v>
      </c>
      <c r="J174" s="4">
        <v>0</v>
      </c>
      <c r="K174" s="4">
        <v>0</v>
      </c>
      <c r="L174" s="4">
        <v>9.8580000000000005</v>
      </c>
      <c r="M174" s="4">
        <v>9.8580000000000005</v>
      </c>
      <c r="N174" s="4">
        <v>9.8580000000000005</v>
      </c>
      <c r="O174" s="4">
        <v>9.8580000000000005</v>
      </c>
      <c r="P174" s="4">
        <v>32</v>
      </c>
      <c r="Q174" s="3" t="s">
        <v>26</v>
      </c>
      <c r="R174" s="3">
        <v>0</v>
      </c>
      <c r="S174" s="3">
        <v>0</v>
      </c>
      <c r="T174" s="3">
        <v>9</v>
      </c>
      <c r="U174" s="3">
        <v>37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187.16</v>
      </c>
      <c r="X174" s="4">
        <f>IF(ISERROR(VLOOKUP($U$174,'TAR FIN'!$A$1:$O$85,15,0)),0,VLOOKUP($U$174,'TAR FIN'!$A$1:$O$85,15,0))</f>
        <v>160.75</v>
      </c>
      <c r="Y174" s="4"/>
      <c r="Z174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4" s="4">
        <f>('TE BE'!$AB$12+'TE BF'!$AB$12+'TE CVA'!$AB$12)*(1-CUSTOS!$M$35)</f>
        <v>111.25249439721334</v>
      </c>
      <c r="AB174" s="4">
        <f t="shared" si="12"/>
        <v>0</v>
      </c>
      <c r="AC174" s="4">
        <f>(L174-M174)*(W174+X174)+($W$198+$X$198-$W$174-$X$174)*(L174)</f>
        <v>2286.3659400000006</v>
      </c>
      <c r="AD174" s="4">
        <f t="shared" si="14"/>
        <v>0</v>
      </c>
      <c r="AE174" s="4">
        <f ca="1">(L174-M174)*(Z174+AA174)+($Z$198+$AA$198-$Z$174-$AA$174)*(L174)</f>
        <v>2025.2921939145178</v>
      </c>
      <c r="AF174" s="3" t="s">
        <v>612</v>
      </c>
    </row>
    <row r="175" spans="1:32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30</v>
      </c>
      <c r="F175" s="3" t="s">
        <v>25</v>
      </c>
      <c r="G175" s="3" t="s">
        <v>25</v>
      </c>
      <c r="H175" s="3" t="s">
        <v>25</v>
      </c>
      <c r="I175" s="6">
        <v>44531</v>
      </c>
      <c r="J175" s="4">
        <v>0</v>
      </c>
      <c r="K175" s="4">
        <v>0</v>
      </c>
      <c r="L175" s="4">
        <v>11.009</v>
      </c>
      <c r="M175" s="4">
        <v>11.009</v>
      </c>
      <c r="N175" s="4">
        <v>11.009</v>
      </c>
      <c r="O175" s="4">
        <v>11.009</v>
      </c>
      <c r="P175" s="4">
        <v>27</v>
      </c>
      <c r="Q175" s="3" t="s">
        <v>26</v>
      </c>
      <c r="R175" s="3">
        <v>0</v>
      </c>
      <c r="S175" s="3">
        <v>0</v>
      </c>
      <c r="T175" s="3">
        <v>9</v>
      </c>
      <c r="U175" s="3">
        <v>37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187.16</v>
      </c>
      <c r="X175" s="4">
        <f>IF(ISERROR(VLOOKUP($U$175,'TAR FIN'!$A$1:$O$85,15,0)),0,VLOOKUP($U$175,'TAR FIN'!$A$1:$O$85,15,0))</f>
        <v>160.75</v>
      </c>
      <c r="Y175" s="4"/>
      <c r="Z175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5" s="4">
        <f>('TE BE'!$AB$12+'TE BF'!$AB$12+'TE CVA'!$AB$12)*(1-CUSTOS!$M$35)</f>
        <v>111.25249439721334</v>
      </c>
      <c r="AB175" s="4">
        <f t="shared" si="12"/>
        <v>0</v>
      </c>
      <c r="AC175" s="4">
        <f>(L175-M175)*(W175+X175)+($W$198+$X$198-$W$175-$X$175)*(L175)</f>
        <v>2553.3173700000007</v>
      </c>
      <c r="AD175" s="4">
        <f t="shared" si="14"/>
        <v>0</v>
      </c>
      <c r="AE175" s="4">
        <f ca="1">(L175-M175)*(Z175+AA175)+($Z$198+$AA$198-$Z$175-$AA$175)*(L175)</f>
        <v>2261.761185109041</v>
      </c>
      <c r="AF175" s="3" t="s">
        <v>612</v>
      </c>
    </row>
    <row r="176" spans="1:32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30</v>
      </c>
      <c r="F176" s="3" t="s">
        <v>25</v>
      </c>
      <c r="G176" s="3" t="s">
        <v>25</v>
      </c>
      <c r="H176" s="3" t="s">
        <v>25</v>
      </c>
      <c r="I176" s="6">
        <v>44562</v>
      </c>
      <c r="J176" s="4">
        <v>0</v>
      </c>
      <c r="K176" s="4">
        <v>0</v>
      </c>
      <c r="L176" s="4">
        <v>10.821</v>
      </c>
      <c r="M176" s="4">
        <v>10.821</v>
      </c>
      <c r="N176" s="4">
        <v>10.821</v>
      </c>
      <c r="O176" s="4">
        <v>10.821</v>
      </c>
      <c r="P176" s="4">
        <v>31</v>
      </c>
      <c r="Q176" s="3" t="s">
        <v>26</v>
      </c>
      <c r="R176" s="3">
        <v>0</v>
      </c>
      <c r="S176" s="3">
        <v>0</v>
      </c>
      <c r="T176" s="3">
        <v>9</v>
      </c>
      <c r="U176" s="3">
        <v>37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187.16</v>
      </c>
      <c r="X176" s="4">
        <f>IF(ISERROR(VLOOKUP($U$176,'TAR FIN'!$A$1:$O$85,15,0)),0,VLOOKUP($U$176,'TAR FIN'!$A$1:$O$85,15,0))</f>
        <v>160.75</v>
      </c>
      <c r="Y176" s="4"/>
      <c r="Z176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6" s="4">
        <f>('TE BE'!$AB$12+'TE BF'!$AB$12+'TE CVA'!$AB$12)*(1-CUSTOS!$M$35)</f>
        <v>111.25249439721334</v>
      </c>
      <c r="AB176" s="4">
        <f t="shared" si="12"/>
        <v>0</v>
      </c>
      <c r="AC176" s="4">
        <f>(L176-M176)*(W176+X176)+($W$198+$X$198-$W$176-$X$176)*(L176)</f>
        <v>2509.7145300000007</v>
      </c>
      <c r="AD176" s="4">
        <f t="shared" si="14"/>
        <v>0</v>
      </c>
      <c r="AE176" s="4">
        <f ca="1">(L176-M176)*(Z176+AA176)+($Z$198+$AA$198-$Z$176-$AA$176)*(L176)</f>
        <v>2223.1372317254004</v>
      </c>
      <c r="AF176" s="3" t="s">
        <v>612</v>
      </c>
    </row>
    <row r="177" spans="1:32" ht="11.25" customHeight="1" x14ac:dyDescent="0.25">
      <c r="A177" s="3" t="s">
        <v>27</v>
      </c>
      <c r="B177" s="3" t="s">
        <v>22</v>
      </c>
      <c r="C177" s="3" t="s">
        <v>23</v>
      </c>
      <c r="D177" s="3" t="s">
        <v>24</v>
      </c>
      <c r="E177" s="3" t="s">
        <v>30</v>
      </c>
      <c r="F177" s="3" t="s">
        <v>25</v>
      </c>
      <c r="G177" s="3" t="s">
        <v>25</v>
      </c>
      <c r="H177" s="3" t="s">
        <v>25</v>
      </c>
      <c r="I177" s="6">
        <v>44562</v>
      </c>
      <c r="J177" s="4">
        <v>0</v>
      </c>
      <c r="K177" s="4">
        <v>0</v>
      </c>
      <c r="L177" s="4">
        <v>-7.0000000000000007E-2</v>
      </c>
      <c r="M177" s="4">
        <v>-7.0000000000000007E-2</v>
      </c>
      <c r="N177" s="4">
        <v>-7.0000000000000007E-2</v>
      </c>
      <c r="O177" s="4">
        <v>-7.0000000000000007E-2</v>
      </c>
      <c r="P177" s="4">
        <v>0</v>
      </c>
      <c r="Q177" s="3" t="s">
        <v>26</v>
      </c>
      <c r="R177" s="3">
        <v>0</v>
      </c>
      <c r="S177" s="3">
        <v>0</v>
      </c>
      <c r="T177" s="3">
        <v>9</v>
      </c>
      <c r="U177" s="3">
        <v>37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187.16</v>
      </c>
      <c r="X177" s="4">
        <f>IF(ISERROR(VLOOKUP($U$177,'TAR FIN'!$A$1:$O$85,15,0)),0,VLOOKUP($U$177,'TAR FIN'!$A$1:$O$85,15,0))</f>
        <v>160.75</v>
      </c>
      <c r="Y177" s="4"/>
      <c r="Z177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7" s="4">
        <f>('TE BE'!$AB$12+'TE BF'!$AB$12+'TE CVA'!$AB$12)*(1-CUSTOS!$M$35)</f>
        <v>111.25249439721334</v>
      </c>
      <c r="AB177" s="4">
        <f t="shared" si="12"/>
        <v>0</v>
      </c>
      <c r="AC177" s="4">
        <f>(L177-M177)*(W177+X177)+($W$198+$X$198-$W$177-$X$177)*(L177)</f>
        <v>-16.235100000000006</v>
      </c>
      <c r="AD177" s="4">
        <f t="shared" si="14"/>
        <v>0</v>
      </c>
      <c r="AE177" s="4">
        <f ca="1">(L177-M177)*(Z177+AA177)+($Z$198+$AA$198-$Z$177-$AA$177)*(L177)</f>
        <v>-14.381259238589598</v>
      </c>
      <c r="AF177" s="3" t="s">
        <v>612</v>
      </c>
    </row>
    <row r="178" spans="1:32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30</v>
      </c>
      <c r="F178" s="3" t="s">
        <v>25</v>
      </c>
      <c r="G178" s="3" t="s">
        <v>25</v>
      </c>
      <c r="H178" s="3" t="s">
        <v>25</v>
      </c>
      <c r="I178" s="6">
        <v>44593</v>
      </c>
      <c r="J178" s="4">
        <v>0</v>
      </c>
      <c r="K178" s="4">
        <v>0</v>
      </c>
      <c r="L178" s="4">
        <v>12.329000000000001</v>
      </c>
      <c r="M178" s="4">
        <v>12.329000000000001</v>
      </c>
      <c r="N178" s="4">
        <v>12.329000000000001</v>
      </c>
      <c r="O178" s="4">
        <v>12.329000000000001</v>
      </c>
      <c r="P178" s="4">
        <v>30</v>
      </c>
      <c r="Q178" s="3" t="s">
        <v>26</v>
      </c>
      <c r="R178" s="3">
        <v>0</v>
      </c>
      <c r="S178" s="3">
        <v>0</v>
      </c>
      <c r="T178" s="3">
        <v>9</v>
      </c>
      <c r="U178" s="3">
        <v>37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187.16</v>
      </c>
      <c r="X178" s="4">
        <f>IF(ISERROR(VLOOKUP($U$178,'TAR FIN'!$A$1:$O$85,15,0)),0,VLOOKUP($U$178,'TAR FIN'!$A$1:$O$85,15,0))</f>
        <v>160.75</v>
      </c>
      <c r="Y178" s="4"/>
      <c r="Z178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8" s="4">
        <f>('TE BE'!$AB$12+'TE BF'!$AB$12+'TE CVA'!$AB$12)*(1-CUSTOS!$M$35)</f>
        <v>111.25249439721334</v>
      </c>
      <c r="AB178" s="4">
        <f t="shared" si="12"/>
        <v>0</v>
      </c>
      <c r="AC178" s="4">
        <f>(L178-M178)*(W178+X178)+($W$198+$X$198-$W$178-$X$178)*(L178)</f>
        <v>2859.4649700000009</v>
      </c>
      <c r="AD178" s="4">
        <f t="shared" si="14"/>
        <v>0</v>
      </c>
      <c r="AE178" s="4">
        <f ca="1">(L178-M178)*(Z178+AA178)+($Z$198+$AA$198-$Z$178-$AA$178)*(L178)</f>
        <v>2532.9506450367307</v>
      </c>
      <c r="AF178" s="3" t="s">
        <v>612</v>
      </c>
    </row>
    <row r="179" spans="1:32" ht="11.25" customHeight="1" x14ac:dyDescent="0.2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30</v>
      </c>
      <c r="F179" s="3" t="s">
        <v>25</v>
      </c>
      <c r="G179" s="3" t="s">
        <v>25</v>
      </c>
      <c r="H179" s="3" t="s">
        <v>25</v>
      </c>
      <c r="I179" s="6">
        <v>44621</v>
      </c>
      <c r="J179" s="4">
        <v>0</v>
      </c>
      <c r="K179" s="4">
        <v>0</v>
      </c>
      <c r="L179" s="4">
        <v>14.779</v>
      </c>
      <c r="M179" s="4">
        <v>14.779</v>
      </c>
      <c r="N179" s="4">
        <v>14.779</v>
      </c>
      <c r="O179" s="4">
        <v>14.779</v>
      </c>
      <c r="P179" s="4">
        <v>35</v>
      </c>
      <c r="Q179" s="3" t="s">
        <v>26</v>
      </c>
      <c r="R179" s="3">
        <v>0</v>
      </c>
      <c r="S179" s="3">
        <v>0</v>
      </c>
      <c r="T179" s="3">
        <v>9</v>
      </c>
      <c r="U179" s="3">
        <v>37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187.16</v>
      </c>
      <c r="X179" s="4">
        <f>IF(ISERROR(VLOOKUP($U$179,'TAR FIN'!$A$1:$O$85,15,0)),0,VLOOKUP($U$179,'TAR FIN'!$A$1:$O$85,15,0))</f>
        <v>160.75</v>
      </c>
      <c r="Y179" s="4"/>
      <c r="Z179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79" s="4">
        <f>('TE BE'!$AB$12+'TE BF'!$AB$12+'TE CVA'!$AB$12)*(1-CUSTOS!$M$35)</f>
        <v>111.25249439721334</v>
      </c>
      <c r="AB179" s="4">
        <f t="shared" si="12"/>
        <v>0</v>
      </c>
      <c r="AC179" s="4">
        <f>(L179-M179)*(W179+X179)+($W$198+$X$198-$W$179-$X$179)*(L179)</f>
        <v>3427.6934700000011</v>
      </c>
      <c r="AD179" s="4">
        <f t="shared" si="14"/>
        <v>0</v>
      </c>
      <c r="AE179" s="4">
        <f ca="1">(L179-M179)*(Z179+AA179)+($Z$198+$AA$198-$Z$179-$AA$179)*(L179)</f>
        <v>3036.2947183873666</v>
      </c>
      <c r="AF179" s="3" t="s">
        <v>612</v>
      </c>
    </row>
    <row r="180" spans="1:32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30</v>
      </c>
      <c r="F180" s="3" t="s">
        <v>25</v>
      </c>
      <c r="G180" s="3" t="s">
        <v>25</v>
      </c>
      <c r="H180" s="3" t="s">
        <v>25</v>
      </c>
      <c r="I180" s="6">
        <v>44652</v>
      </c>
      <c r="J180" s="4">
        <v>0</v>
      </c>
      <c r="K180" s="4">
        <v>0</v>
      </c>
      <c r="L180" s="4">
        <v>15.113</v>
      </c>
      <c r="M180" s="4">
        <v>15.113</v>
      </c>
      <c r="N180" s="4">
        <v>15.113</v>
      </c>
      <c r="O180" s="4">
        <v>15.113</v>
      </c>
      <c r="P180" s="4">
        <v>43</v>
      </c>
      <c r="Q180" s="3" t="s">
        <v>26</v>
      </c>
      <c r="R180" s="3">
        <v>0</v>
      </c>
      <c r="S180" s="3">
        <v>0</v>
      </c>
      <c r="T180" s="3">
        <v>9</v>
      </c>
      <c r="U180" s="3">
        <v>37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187.16</v>
      </c>
      <c r="X180" s="4">
        <f>IF(ISERROR(VLOOKUP($U$180,'TAR FIN'!$A$1:$O$85,15,0)),0,VLOOKUP($U$180,'TAR FIN'!$A$1:$O$85,15,0))</f>
        <v>160.75</v>
      </c>
      <c r="Y180" s="4"/>
      <c r="Z180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80" s="4">
        <f>('TE BE'!$AB$12+'TE BF'!$AB$12+'TE CVA'!$AB$12)*(1-CUSTOS!$M$35)</f>
        <v>111.25249439721334</v>
      </c>
      <c r="AB180" s="4">
        <f t="shared" si="12"/>
        <v>0</v>
      </c>
      <c r="AC180" s="4">
        <f>(L180-M180)*(W180+X180)+($W$198+$X$198-$W$180-$X$180)*(L180)</f>
        <v>3505.1580900000008</v>
      </c>
      <c r="AD180" s="4">
        <f t="shared" si="14"/>
        <v>0</v>
      </c>
      <c r="AE180" s="4">
        <f ca="1">(L180-M180)*(Z180+AA180)+($Z$198+$AA$198-$Z$180-$AA$180)*(L180)</f>
        <v>3104.9138696114937</v>
      </c>
      <c r="AF180" s="3" t="s">
        <v>612</v>
      </c>
    </row>
    <row r="181" spans="1:32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30</v>
      </c>
      <c r="F181" s="3" t="s">
        <v>25</v>
      </c>
      <c r="G181" s="3" t="s">
        <v>25</v>
      </c>
      <c r="H181" s="3" t="s">
        <v>25</v>
      </c>
      <c r="I181" s="6">
        <v>44682</v>
      </c>
      <c r="J181" s="4">
        <v>0</v>
      </c>
      <c r="K181" s="4">
        <v>0</v>
      </c>
      <c r="L181" s="4">
        <v>15.212999999999999</v>
      </c>
      <c r="M181" s="4">
        <v>15.212999999999999</v>
      </c>
      <c r="N181" s="4">
        <v>15.212999999999999</v>
      </c>
      <c r="O181" s="4">
        <v>15.212999999999999</v>
      </c>
      <c r="P181" s="4">
        <v>43</v>
      </c>
      <c r="Q181" s="3" t="s">
        <v>26</v>
      </c>
      <c r="R181" s="3">
        <v>0</v>
      </c>
      <c r="S181" s="3">
        <v>0</v>
      </c>
      <c r="T181" s="3">
        <v>9</v>
      </c>
      <c r="U181" s="3">
        <v>37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187.16</v>
      </c>
      <c r="X181" s="4">
        <f>IF(ISERROR(VLOOKUP($U$181,'TAR FIN'!$A$1:$O$85,15,0)),0,VLOOKUP($U$181,'TAR FIN'!$A$1:$O$85,15,0))</f>
        <v>160.75</v>
      </c>
      <c r="Y181" s="4"/>
      <c r="Z181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81" s="4">
        <f>('TE BE'!$AB$12+'TE BF'!$AB$12+'TE CVA'!$AB$12)*(1-CUSTOS!$M$35)</f>
        <v>111.25249439721334</v>
      </c>
      <c r="AB181" s="4">
        <f t="shared" si="12"/>
        <v>0</v>
      </c>
      <c r="AC181" s="4">
        <f>(L181-M181)*(W181+X181)+($W$198+$X$198-$W$181-$X$181)*(L181)</f>
        <v>3528.3510900000006</v>
      </c>
      <c r="AD181" s="4">
        <f t="shared" si="14"/>
        <v>0</v>
      </c>
      <c r="AE181" s="4">
        <f ca="1">(L181-M181)*(Z181+AA181)+($Z$198+$AA$198-$Z$181-$AA$181)*(L181)</f>
        <v>3125.4585256666219</v>
      </c>
      <c r="AF181" s="3" t="s">
        <v>612</v>
      </c>
    </row>
    <row r="182" spans="1:32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30</v>
      </c>
      <c r="F182" s="3" t="s">
        <v>25</v>
      </c>
      <c r="G182" s="3" t="s">
        <v>25</v>
      </c>
      <c r="H182" s="3" t="s">
        <v>25</v>
      </c>
      <c r="I182" s="6">
        <v>44713</v>
      </c>
      <c r="J182" s="4">
        <v>0</v>
      </c>
      <c r="K182" s="4">
        <v>0</v>
      </c>
      <c r="L182" s="4">
        <v>13.866</v>
      </c>
      <c r="M182" s="4">
        <v>13.866</v>
      </c>
      <c r="N182" s="4">
        <v>13.866</v>
      </c>
      <c r="O182" s="4">
        <v>13.866</v>
      </c>
      <c r="P182" s="4">
        <v>47</v>
      </c>
      <c r="Q182" s="3" t="s">
        <v>26</v>
      </c>
      <c r="R182" s="3">
        <v>0</v>
      </c>
      <c r="S182" s="3">
        <v>0</v>
      </c>
      <c r="T182" s="3">
        <v>9</v>
      </c>
      <c r="U182" s="3">
        <v>37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187.16</v>
      </c>
      <c r="X182" s="4">
        <f>IF(ISERROR(VLOOKUP($U$182,'TAR FIN'!$A$1:$O$85,15,0)),0,VLOOKUP($U$182,'TAR FIN'!$A$1:$O$85,15,0))</f>
        <v>160.75</v>
      </c>
      <c r="Y182" s="4"/>
      <c r="Z182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82" s="4">
        <f>('TE BE'!$AB$12+'TE BF'!$AB$12+'TE CVA'!$AB$12)*(1-CUSTOS!$M$35)</f>
        <v>111.25249439721334</v>
      </c>
      <c r="AB182" s="4">
        <f t="shared" si="12"/>
        <v>0</v>
      </c>
      <c r="AC182" s="4">
        <f>(L182-M182)*(W182+X182)+($W$198+$X$198-$W$182-$X$182)*(L182)</f>
        <v>3215.9413800000007</v>
      </c>
      <c r="AD182" s="4">
        <f t="shared" si="14"/>
        <v>0</v>
      </c>
      <c r="AE182" s="4">
        <f ca="1">(L182-M182)*(Z182+AA182)+($Z$198+$AA$198-$Z$182-$AA$182)*(L182)</f>
        <v>2848.7220086040479</v>
      </c>
      <c r="AF182" s="3" t="s">
        <v>612</v>
      </c>
    </row>
    <row r="183" spans="1:32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30</v>
      </c>
      <c r="F183" s="3" t="s">
        <v>25</v>
      </c>
      <c r="G183" s="3" t="s">
        <v>25</v>
      </c>
      <c r="H183" s="3" t="s">
        <v>25</v>
      </c>
      <c r="I183" s="6">
        <v>44743</v>
      </c>
      <c r="J183" s="4">
        <v>0</v>
      </c>
      <c r="K183" s="4">
        <v>0</v>
      </c>
      <c r="L183" s="4">
        <v>13.898999999999999</v>
      </c>
      <c r="M183" s="4">
        <v>13.898999999999999</v>
      </c>
      <c r="N183" s="4">
        <v>13.898999999999999</v>
      </c>
      <c r="O183" s="4">
        <v>13.898999999999999</v>
      </c>
      <c r="P183" s="4">
        <v>39</v>
      </c>
      <c r="Q183" s="3" t="s">
        <v>26</v>
      </c>
      <c r="R183" s="3">
        <v>0</v>
      </c>
      <c r="S183" s="3">
        <v>0</v>
      </c>
      <c r="T183" s="3">
        <v>9</v>
      </c>
      <c r="U183" s="3">
        <v>37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187.16</v>
      </c>
      <c r="X183" s="4">
        <f>IF(ISERROR(VLOOKUP($U$183,'TAR FIN'!$A$1:$O$85,15,0)),0,VLOOKUP($U$183,'TAR FIN'!$A$1:$O$85,15,0))</f>
        <v>160.75</v>
      </c>
      <c r="Y183" s="4"/>
      <c r="Z183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83" s="4">
        <f>('TE BE'!$AB$12+'TE BF'!$AB$12+'TE CVA'!$AB$12)*(1-CUSTOS!$M$35)</f>
        <v>111.25249439721334</v>
      </c>
      <c r="AB183" s="4">
        <f t="shared" si="12"/>
        <v>0</v>
      </c>
      <c r="AC183" s="4">
        <f>(L183-M183)*(W183+X183)+($W$198+$X$198-$W$183-$X$183)*(L183)</f>
        <v>3223.5950700000008</v>
      </c>
      <c r="AD183" s="4">
        <f t="shared" si="14"/>
        <v>0</v>
      </c>
      <c r="AE183" s="4">
        <f ca="1">(L183-M183)*(Z183+AA183)+($Z$198+$AA$198-$Z$183-$AA$183)*(L183)</f>
        <v>2855.50174510224</v>
      </c>
      <c r="AF183" s="3" t="s">
        <v>612</v>
      </c>
    </row>
    <row r="184" spans="1:32" ht="11.25" customHeight="1" x14ac:dyDescent="0.25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30</v>
      </c>
      <c r="F184" s="3" t="s">
        <v>25</v>
      </c>
      <c r="G184" s="3" t="s">
        <v>25</v>
      </c>
      <c r="H184" s="3" t="s">
        <v>25</v>
      </c>
      <c r="I184" s="6">
        <v>44774</v>
      </c>
      <c r="J184" s="4">
        <v>0</v>
      </c>
      <c r="K184" s="4">
        <v>0</v>
      </c>
      <c r="L184" s="4">
        <v>13.744999999999999</v>
      </c>
      <c r="M184" s="4">
        <v>13.744999999999999</v>
      </c>
      <c r="N184" s="4">
        <v>13.744999999999999</v>
      </c>
      <c r="O184" s="4">
        <v>13.744999999999999</v>
      </c>
      <c r="P184" s="4">
        <v>43</v>
      </c>
      <c r="Q184" s="3" t="s">
        <v>26</v>
      </c>
      <c r="R184" s="3">
        <v>0</v>
      </c>
      <c r="S184" s="3">
        <v>0</v>
      </c>
      <c r="T184" s="3">
        <v>9</v>
      </c>
      <c r="U184" s="3">
        <v>37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187.16</v>
      </c>
      <c r="X184" s="4">
        <f>IF(ISERROR(VLOOKUP($U$184,'TAR FIN'!$A$1:$O$85,15,0)),0,VLOOKUP($U$184,'TAR FIN'!$A$1:$O$85,15,0))</f>
        <v>160.75</v>
      </c>
      <c r="Y184" s="4"/>
      <c r="Z184" s="4">
        <f ca="1">('TUSD BE'!$AM$22+'TUSD BF'!$AM$22+'TUSD CVA'!$AM$22-('TUSD BE'!$P$22+'TUSD BF'!$P$22+'TUSD CVA'!$P$22)-('TUSD BE'!$Q$22+'TUSD BF'!$Q$22+'TUSD CVA'!$Q$22)-('TUSD BE'!$R$22+'TUSD BF'!$R$22+'TUSD CVA'!$R$22))*(1-CUSTOS!$M$35)</f>
        <v>196.91734642970673</v>
      </c>
      <c r="AA184" s="4">
        <f>('TE BE'!$AB$12+'TE BF'!$AB$12+'TE CVA'!$AB$12)*(1-CUSTOS!$M$35)</f>
        <v>111.25249439721334</v>
      </c>
      <c r="AB184" s="4">
        <f t="shared" si="12"/>
        <v>0</v>
      </c>
      <c r="AC184" s="4">
        <f>(L184-M184)*(W184+X184)+($W$198+$X$198-$W$184-$X$184)*(L184)</f>
        <v>3187.8778500000008</v>
      </c>
      <c r="AD184" s="4">
        <f t="shared" si="14"/>
        <v>0</v>
      </c>
      <c r="AE184" s="4">
        <f ca="1">(L184-M184)*(Z184+AA184)+($Z$198+$AA$198-$Z$184-$AA$184)*(L184)</f>
        <v>2823.862974777343</v>
      </c>
      <c r="AF184" s="3" t="s">
        <v>612</v>
      </c>
    </row>
    <row r="185" spans="1:32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31</v>
      </c>
      <c r="F185" s="3" t="s">
        <v>25</v>
      </c>
      <c r="G185" s="3" t="s">
        <v>25</v>
      </c>
      <c r="H185" s="3" t="s">
        <v>25</v>
      </c>
      <c r="I185" s="6">
        <v>44440</v>
      </c>
      <c r="J185" s="4">
        <v>0</v>
      </c>
      <c r="K185" s="4">
        <v>0</v>
      </c>
      <c r="L185" s="4">
        <v>8.6289999999999996</v>
      </c>
      <c r="M185" s="4">
        <v>8.6289999999999996</v>
      </c>
      <c r="N185" s="4">
        <v>8.6289999999999996</v>
      </c>
      <c r="O185" s="4">
        <v>8.6289999999999996</v>
      </c>
      <c r="P185" s="4">
        <v>87</v>
      </c>
      <c r="Q185" s="3" t="s">
        <v>26</v>
      </c>
      <c r="R185" s="3">
        <v>0</v>
      </c>
      <c r="S185" s="3">
        <v>0</v>
      </c>
      <c r="T185" s="3">
        <v>42</v>
      </c>
      <c r="U185" s="3">
        <v>48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280.74</v>
      </c>
      <c r="X185" s="4">
        <f>IF(ISERROR(VLOOKUP($U$185,'TAR FIN'!$A$1:$O$85,15,0)),0,VLOOKUP($U$185,'TAR FIN'!$A$1:$O$85,15,0))</f>
        <v>241.12</v>
      </c>
      <c r="Y185" s="4"/>
      <c r="Z185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85" s="4">
        <f>('TE BE'!$AB$13+'TE BF'!$AB$13+'TE CVA'!$AB$13)*(1-CUSTOS!$M$36)</f>
        <v>166.87874159582</v>
      </c>
      <c r="AB185" s="4">
        <f t="shared" si="12"/>
        <v>0</v>
      </c>
      <c r="AC185" s="4">
        <f>(L185-M185)*(W185+X185)+($W$198+$X$198-$W$185-$X$185)*(L185)</f>
        <v>500.30942000000016</v>
      </c>
      <c r="AD185" s="4">
        <f t="shared" si="14"/>
        <v>0</v>
      </c>
      <c r="AE185" s="4">
        <f ca="1">(L185-M185)*(Z185+AA185)+($Z$198+$AA$198-$Z$185-$AA$185)*(L185)</f>
        <v>443.19959274924867</v>
      </c>
      <c r="AF185" s="3" t="s">
        <v>612</v>
      </c>
    </row>
    <row r="186" spans="1:32" ht="11.25" customHeight="1" x14ac:dyDescent="0.25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31</v>
      </c>
      <c r="F186" s="3" t="s">
        <v>25</v>
      </c>
      <c r="G186" s="3" t="s">
        <v>25</v>
      </c>
      <c r="H186" s="3" t="s">
        <v>25</v>
      </c>
      <c r="I186" s="6">
        <v>44470</v>
      </c>
      <c r="J186" s="4">
        <v>0</v>
      </c>
      <c r="K186" s="4">
        <v>0</v>
      </c>
      <c r="L186" s="4">
        <v>9.2449999999999992</v>
      </c>
      <c r="M186" s="4">
        <v>9.2449999999999992</v>
      </c>
      <c r="N186" s="4">
        <v>9.2449999999999992</v>
      </c>
      <c r="O186" s="4">
        <v>9.2449999999999992</v>
      </c>
      <c r="P186" s="4">
        <v>82</v>
      </c>
      <c r="Q186" s="3" t="s">
        <v>26</v>
      </c>
      <c r="R186" s="3">
        <v>0</v>
      </c>
      <c r="S186" s="3">
        <v>0</v>
      </c>
      <c r="T186" s="3">
        <v>42</v>
      </c>
      <c r="U186" s="3">
        <v>48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280.74</v>
      </c>
      <c r="X186" s="4">
        <f>IF(ISERROR(VLOOKUP($U$186,'TAR FIN'!$A$1:$O$85,15,0)),0,VLOOKUP($U$186,'TAR FIN'!$A$1:$O$85,15,0))</f>
        <v>241.12</v>
      </c>
      <c r="Y186" s="4"/>
      <c r="Z186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86" s="4">
        <f>('TE BE'!$AB$13+'TE BF'!$AB$13+'TE CVA'!$AB$13)*(1-CUSTOS!$M$36)</f>
        <v>166.87874159582</v>
      </c>
      <c r="AB186" s="4">
        <f t="shared" si="12"/>
        <v>0</v>
      </c>
      <c r="AC186" s="4">
        <f>(L186-M186)*(W186+X186)+($W$198+$X$198-$W$186-$X$186)*(L186)</f>
        <v>536.02510000000018</v>
      </c>
      <c r="AD186" s="4">
        <f t="shared" si="14"/>
        <v>0</v>
      </c>
      <c r="AE186" s="4">
        <f ca="1">(L186-M186)*(Z186+AA186)+($Z$198+$AA$198-$Z$186-$AA$186)*(L186)</f>
        <v>474.83836307414578</v>
      </c>
      <c r="AF186" s="3" t="s">
        <v>612</v>
      </c>
    </row>
    <row r="187" spans="1:32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31</v>
      </c>
      <c r="F187" s="3" t="s">
        <v>25</v>
      </c>
      <c r="G187" s="3" t="s">
        <v>25</v>
      </c>
      <c r="H187" s="3" t="s">
        <v>25</v>
      </c>
      <c r="I187" s="6">
        <v>44501</v>
      </c>
      <c r="J187" s="4">
        <v>0</v>
      </c>
      <c r="K187" s="4">
        <v>0</v>
      </c>
      <c r="L187" s="4">
        <v>8.7720000000000002</v>
      </c>
      <c r="M187" s="4">
        <v>8.7720000000000002</v>
      </c>
      <c r="N187" s="4">
        <v>8.7720000000000002</v>
      </c>
      <c r="O187" s="4">
        <v>8.7720000000000002</v>
      </c>
      <c r="P187" s="4">
        <v>85</v>
      </c>
      <c r="Q187" s="3" t="s">
        <v>26</v>
      </c>
      <c r="R187" s="3">
        <v>0</v>
      </c>
      <c r="S187" s="3">
        <v>0</v>
      </c>
      <c r="T187" s="3">
        <v>42</v>
      </c>
      <c r="U187" s="3">
        <v>48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280.74</v>
      </c>
      <c r="X187" s="4">
        <f>IF(ISERROR(VLOOKUP($U$187,'TAR FIN'!$A$1:$O$85,15,0)),0,VLOOKUP($U$187,'TAR FIN'!$A$1:$O$85,15,0))</f>
        <v>241.12</v>
      </c>
      <c r="Y187" s="4"/>
      <c r="Z187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87" s="4">
        <f>('TE BE'!$AB$13+'TE BF'!$AB$13+'TE CVA'!$AB$13)*(1-CUSTOS!$M$36)</f>
        <v>166.87874159582</v>
      </c>
      <c r="AB187" s="4">
        <f t="shared" si="12"/>
        <v>0</v>
      </c>
      <c r="AC187" s="4">
        <f>(L187-M187)*(W187+X187)+($W$198+$X$198-$W$187-$X$187)*(L187)</f>
        <v>508.6005600000002</v>
      </c>
      <c r="AD187" s="4">
        <f t="shared" si="14"/>
        <v>0</v>
      </c>
      <c r="AE187" s="4">
        <f ca="1">(L187-M187)*(Z187+AA187)+($Z$198+$AA$198-$Z$187-$AA$187)*(L187)</f>
        <v>450.54430728895699</v>
      </c>
      <c r="AF187" s="3" t="s">
        <v>612</v>
      </c>
    </row>
    <row r="188" spans="1:32" ht="11.25" customHeight="1" x14ac:dyDescent="0.25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31</v>
      </c>
      <c r="F188" s="3" t="s">
        <v>25</v>
      </c>
      <c r="G188" s="3" t="s">
        <v>25</v>
      </c>
      <c r="H188" s="3" t="s">
        <v>25</v>
      </c>
      <c r="I188" s="6">
        <v>44531</v>
      </c>
      <c r="J188" s="4">
        <v>0</v>
      </c>
      <c r="K188" s="4">
        <v>0</v>
      </c>
      <c r="L188" s="4">
        <v>11.242000000000001</v>
      </c>
      <c r="M188" s="4">
        <v>11.242000000000001</v>
      </c>
      <c r="N188" s="4">
        <v>11.242000000000001</v>
      </c>
      <c r="O188" s="4">
        <v>11.242000000000001</v>
      </c>
      <c r="P188" s="4">
        <v>88</v>
      </c>
      <c r="Q188" s="3" t="s">
        <v>26</v>
      </c>
      <c r="R188" s="3">
        <v>0</v>
      </c>
      <c r="S188" s="3">
        <v>0</v>
      </c>
      <c r="T188" s="3">
        <v>42</v>
      </c>
      <c r="U188" s="3">
        <v>48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280.74</v>
      </c>
      <c r="X188" s="4">
        <f>IF(ISERROR(VLOOKUP($U$188,'TAR FIN'!$A$1:$O$85,15,0)),0,VLOOKUP($U$188,'TAR FIN'!$A$1:$O$85,15,0))</f>
        <v>241.12</v>
      </c>
      <c r="Y188" s="4"/>
      <c r="Z188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88" s="4">
        <f>('TE BE'!$AB$13+'TE BF'!$AB$13+'TE CVA'!$AB$13)*(1-CUSTOS!$M$36)</f>
        <v>166.87874159582</v>
      </c>
      <c r="AB188" s="4">
        <f t="shared" si="12"/>
        <v>0</v>
      </c>
      <c r="AC188" s="4">
        <f>(L188-M188)*(W188+X188)+($W$198+$X$198-$W$188-$X$188)*(L188)</f>
        <v>651.8111600000002</v>
      </c>
      <c r="AD188" s="4">
        <f t="shared" si="14"/>
        <v>0</v>
      </c>
      <c r="AE188" s="4">
        <f ca="1">(L188-M188)*(Z188+AA188)+($Z$198+$AA$198-$Z$188-$AA$188)*(L188)</f>
        <v>577.40755842937233</v>
      </c>
      <c r="AF188" s="3" t="s">
        <v>612</v>
      </c>
    </row>
    <row r="189" spans="1:32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31</v>
      </c>
      <c r="F189" s="3" t="s">
        <v>25</v>
      </c>
      <c r="G189" s="3" t="s">
        <v>25</v>
      </c>
      <c r="H189" s="3" t="s">
        <v>25</v>
      </c>
      <c r="I189" s="6">
        <v>44562</v>
      </c>
      <c r="J189" s="4">
        <v>0</v>
      </c>
      <c r="K189" s="4">
        <v>0</v>
      </c>
      <c r="L189" s="4">
        <v>10.589</v>
      </c>
      <c r="M189" s="4">
        <v>10.589</v>
      </c>
      <c r="N189" s="4">
        <v>10.589</v>
      </c>
      <c r="O189" s="4">
        <v>10.589</v>
      </c>
      <c r="P189" s="4">
        <v>88</v>
      </c>
      <c r="Q189" s="3" t="s">
        <v>26</v>
      </c>
      <c r="R189" s="3">
        <v>0</v>
      </c>
      <c r="S189" s="3">
        <v>0</v>
      </c>
      <c r="T189" s="3">
        <v>42</v>
      </c>
      <c r="U189" s="3">
        <v>48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280.74</v>
      </c>
      <c r="X189" s="4">
        <f>IF(ISERROR(VLOOKUP($U$189,'TAR FIN'!$A$1:$O$85,15,0)),0,VLOOKUP($U$189,'TAR FIN'!$A$1:$O$85,15,0))</f>
        <v>241.12</v>
      </c>
      <c r="Y189" s="4"/>
      <c r="Z189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89" s="4">
        <f>('TE BE'!$AB$13+'TE BF'!$AB$13+'TE CVA'!$AB$13)*(1-CUSTOS!$M$36)</f>
        <v>166.87874159582</v>
      </c>
      <c r="AB189" s="4">
        <f t="shared" si="12"/>
        <v>0</v>
      </c>
      <c r="AC189" s="4">
        <f>(L189-M189)*(W189+X189)+($W$198+$X$198-$W$189-$X$189)*(L189)</f>
        <v>613.95022000000017</v>
      </c>
      <c r="AD189" s="4">
        <f t="shared" si="14"/>
        <v>0</v>
      </c>
      <c r="AE189" s="4">
        <f ca="1">(L189-M189)*(Z189+AA189)+($Z$198+$AA$198-$Z$189-$AA$189)*(L189)</f>
        <v>543.8684074193759</v>
      </c>
      <c r="AF189" s="3" t="s">
        <v>612</v>
      </c>
    </row>
    <row r="190" spans="1:32" ht="11.25" customHeight="1" x14ac:dyDescent="0.25">
      <c r="A190" s="3" t="s">
        <v>27</v>
      </c>
      <c r="B190" s="3" t="s">
        <v>22</v>
      </c>
      <c r="C190" s="3" t="s">
        <v>23</v>
      </c>
      <c r="D190" s="3" t="s">
        <v>24</v>
      </c>
      <c r="E190" s="3" t="s">
        <v>31</v>
      </c>
      <c r="F190" s="3" t="s">
        <v>25</v>
      </c>
      <c r="G190" s="3" t="s">
        <v>25</v>
      </c>
      <c r="H190" s="3" t="s">
        <v>25</v>
      </c>
      <c r="I190" s="6">
        <v>44562</v>
      </c>
      <c r="J190" s="4">
        <v>0</v>
      </c>
      <c r="K190" s="4">
        <v>0</v>
      </c>
      <c r="L190" s="4">
        <v>-0.113</v>
      </c>
      <c r="M190" s="4">
        <v>-0.113</v>
      </c>
      <c r="N190" s="4">
        <v>-0.113</v>
      </c>
      <c r="O190" s="4">
        <v>-0.113</v>
      </c>
      <c r="P190" s="4">
        <v>0</v>
      </c>
      <c r="Q190" s="3" t="s">
        <v>26</v>
      </c>
      <c r="R190" s="3">
        <v>0</v>
      </c>
      <c r="S190" s="3">
        <v>0</v>
      </c>
      <c r="T190" s="3">
        <v>42</v>
      </c>
      <c r="U190" s="3">
        <v>48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280.74</v>
      </c>
      <c r="X190" s="4">
        <f>IF(ISERROR(VLOOKUP($U$190,'TAR FIN'!$A$1:$O$85,15,0)),0,VLOOKUP($U$190,'TAR FIN'!$A$1:$O$85,15,0))</f>
        <v>241.12</v>
      </c>
      <c r="Y190" s="4"/>
      <c r="Z190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0" s="4">
        <f>('TE BE'!$AB$13+'TE BF'!$AB$13+'TE CVA'!$AB$13)*(1-CUSTOS!$M$36)</f>
        <v>166.87874159582</v>
      </c>
      <c r="AB190" s="4">
        <f t="shared" si="12"/>
        <v>0</v>
      </c>
      <c r="AC190" s="4">
        <f>(L190-M190)*(W190+X190)+($W$198+$X$198-$W$190-$X$190)*(L190)</f>
        <v>-6.5517400000000023</v>
      </c>
      <c r="AD190" s="4">
        <f t="shared" si="14"/>
        <v>0</v>
      </c>
      <c r="AE190" s="4">
        <f ca="1">(L190-M190)*(Z190+AA190)+($Z$198+$AA$198-$Z$190-$AA$190)*(L190)</f>
        <v>-5.8038653355736587</v>
      </c>
      <c r="AF190" s="3" t="s">
        <v>612</v>
      </c>
    </row>
    <row r="191" spans="1:32" ht="11.25" customHeight="1" x14ac:dyDescent="0.25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31</v>
      </c>
      <c r="F191" s="3" t="s">
        <v>25</v>
      </c>
      <c r="G191" s="3" t="s">
        <v>25</v>
      </c>
      <c r="H191" s="3" t="s">
        <v>25</v>
      </c>
      <c r="I191" s="6">
        <v>44593</v>
      </c>
      <c r="J191" s="4">
        <v>0</v>
      </c>
      <c r="K191" s="4">
        <v>0</v>
      </c>
      <c r="L191" s="4">
        <v>11.867000000000001</v>
      </c>
      <c r="M191" s="4">
        <v>11.867000000000001</v>
      </c>
      <c r="N191" s="4">
        <v>11.867000000000001</v>
      </c>
      <c r="O191" s="4">
        <v>11.867000000000001</v>
      </c>
      <c r="P191" s="4">
        <v>112</v>
      </c>
      <c r="Q191" s="3" t="s">
        <v>26</v>
      </c>
      <c r="R191" s="3">
        <v>0</v>
      </c>
      <c r="S191" s="3">
        <v>0</v>
      </c>
      <c r="T191" s="3">
        <v>42</v>
      </c>
      <c r="U191" s="3">
        <v>48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280.74</v>
      </c>
      <c r="X191" s="4">
        <f>IF(ISERROR(VLOOKUP($U$191,'TAR FIN'!$A$1:$O$85,15,0)),0,VLOOKUP($U$191,'TAR FIN'!$A$1:$O$85,15,0))</f>
        <v>241.12</v>
      </c>
      <c r="Y191" s="4"/>
      <c r="Z191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1" s="4">
        <f>('TE BE'!$AB$13+'TE BF'!$AB$13+'TE CVA'!$AB$13)*(1-CUSTOS!$M$36)</f>
        <v>166.87874159582</v>
      </c>
      <c r="AB191" s="4">
        <f t="shared" si="12"/>
        <v>0</v>
      </c>
      <c r="AC191" s="4">
        <f>(L191-M191)*(W191+X191)+($W$198+$X$198-$W$191-$X$191)*(L191)</f>
        <v>688.04866000000027</v>
      </c>
      <c r="AD191" s="4">
        <f t="shared" si="14"/>
        <v>0</v>
      </c>
      <c r="AE191" s="4">
        <f ca="1">(L191-M191)*(Z191+AA191)+($Z$198+$AA$198-$Z$191-$AA$191)*(L191)</f>
        <v>609.50858351550983</v>
      </c>
      <c r="AF191" s="3" t="s">
        <v>612</v>
      </c>
    </row>
    <row r="192" spans="1:32" ht="11.25" customHeight="1" x14ac:dyDescent="0.25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31</v>
      </c>
      <c r="F192" s="3" t="s">
        <v>25</v>
      </c>
      <c r="G192" s="3" t="s">
        <v>25</v>
      </c>
      <c r="H192" s="3" t="s">
        <v>25</v>
      </c>
      <c r="I192" s="6">
        <v>44621</v>
      </c>
      <c r="J192" s="4">
        <v>0</v>
      </c>
      <c r="K192" s="4">
        <v>0</v>
      </c>
      <c r="L192" s="4">
        <v>14.621</v>
      </c>
      <c r="M192" s="4">
        <v>14.621</v>
      </c>
      <c r="N192" s="4">
        <v>14.621</v>
      </c>
      <c r="O192" s="4">
        <v>14.621</v>
      </c>
      <c r="P192" s="4">
        <v>131</v>
      </c>
      <c r="Q192" s="3" t="s">
        <v>26</v>
      </c>
      <c r="R192" s="3">
        <v>0</v>
      </c>
      <c r="S192" s="3">
        <v>0</v>
      </c>
      <c r="T192" s="3">
        <v>42</v>
      </c>
      <c r="U192" s="3">
        <v>48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280.74</v>
      </c>
      <c r="X192" s="4">
        <f>IF(ISERROR(VLOOKUP($U$192,'TAR FIN'!$A$1:$O$85,15,0)),0,VLOOKUP($U$192,'TAR FIN'!$A$1:$O$85,15,0))</f>
        <v>241.12</v>
      </c>
      <c r="Y192" s="4"/>
      <c r="Z192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2" s="4">
        <f>('TE BE'!$AB$13+'TE BF'!$AB$13+'TE CVA'!$AB$13)*(1-CUSTOS!$M$36)</f>
        <v>166.87874159582</v>
      </c>
      <c r="AB192" s="4">
        <f t="shared" si="12"/>
        <v>0</v>
      </c>
      <c r="AC192" s="4">
        <f>(L192-M192)*(W192+X192)+($W$198+$X$198-$W$192-$X$192)*(L192)</f>
        <v>847.72558000000026</v>
      </c>
      <c r="AD192" s="4">
        <f t="shared" si="14"/>
        <v>0</v>
      </c>
      <c r="AE192" s="4">
        <f ca="1">(L192-M192)*(Z192+AA192)+($Z$198+$AA$198-$Z$192-$AA$192)*(L192)</f>
        <v>750.9585404550661</v>
      </c>
      <c r="AF192" s="3" t="s">
        <v>612</v>
      </c>
    </row>
    <row r="193" spans="1:32" ht="11.25" customHeight="1" x14ac:dyDescent="0.25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31</v>
      </c>
      <c r="F193" s="3" t="s">
        <v>25</v>
      </c>
      <c r="G193" s="3" t="s">
        <v>25</v>
      </c>
      <c r="H193" s="3" t="s">
        <v>25</v>
      </c>
      <c r="I193" s="6">
        <v>44652</v>
      </c>
      <c r="J193" s="4">
        <v>0</v>
      </c>
      <c r="K193" s="4">
        <v>0</v>
      </c>
      <c r="L193" s="4">
        <v>13.91</v>
      </c>
      <c r="M193" s="4">
        <v>13.91</v>
      </c>
      <c r="N193" s="4">
        <v>13.91</v>
      </c>
      <c r="O193" s="4">
        <v>13.91</v>
      </c>
      <c r="P193" s="4">
        <v>139</v>
      </c>
      <c r="Q193" s="3" t="s">
        <v>26</v>
      </c>
      <c r="R193" s="3">
        <v>0</v>
      </c>
      <c r="S193" s="3">
        <v>0</v>
      </c>
      <c r="T193" s="3">
        <v>42</v>
      </c>
      <c r="U193" s="3">
        <v>48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280.74</v>
      </c>
      <c r="X193" s="4">
        <f>IF(ISERROR(VLOOKUP($U$193,'TAR FIN'!$A$1:$O$85,15,0)),0,VLOOKUP($U$193,'TAR FIN'!$A$1:$O$85,15,0))</f>
        <v>241.12</v>
      </c>
      <c r="Y193" s="4"/>
      <c r="Z193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3" s="4">
        <f>('TE BE'!$AB$13+'TE BF'!$AB$13+'TE CVA'!$AB$13)*(1-CUSTOS!$M$36)</f>
        <v>166.87874159582</v>
      </c>
      <c r="AB193" s="4">
        <f t="shared" si="12"/>
        <v>0</v>
      </c>
      <c r="AC193" s="4">
        <f>(L193-M193)*(W193+X193)+($W$198+$X$198-$W$193-$X$193)*(L193)</f>
        <v>806.50180000000023</v>
      </c>
      <c r="AD193" s="4">
        <f t="shared" si="14"/>
        <v>0</v>
      </c>
      <c r="AE193" s="4">
        <f ca="1">(L193-M193)*(Z193+AA193)+($Z$198+$AA$198-$Z$193-$AA$193)*(L193)</f>
        <v>714.44041431707603</v>
      </c>
      <c r="AF193" s="3" t="s">
        <v>612</v>
      </c>
    </row>
    <row r="194" spans="1:32" ht="11.25" customHeight="1" x14ac:dyDescent="0.25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31</v>
      </c>
      <c r="F194" s="3" t="s">
        <v>25</v>
      </c>
      <c r="G194" s="3" t="s">
        <v>25</v>
      </c>
      <c r="H194" s="3" t="s">
        <v>25</v>
      </c>
      <c r="I194" s="6">
        <v>44682</v>
      </c>
      <c r="J194" s="4">
        <v>0</v>
      </c>
      <c r="K194" s="4">
        <v>0</v>
      </c>
      <c r="L194" s="4">
        <v>13.505000000000001</v>
      </c>
      <c r="M194" s="4">
        <v>13.505000000000001</v>
      </c>
      <c r="N194" s="4">
        <v>13.505000000000001</v>
      </c>
      <c r="O194" s="4">
        <v>13.505000000000001</v>
      </c>
      <c r="P194" s="4">
        <v>152</v>
      </c>
      <c r="Q194" s="3" t="s">
        <v>26</v>
      </c>
      <c r="R194" s="3">
        <v>0</v>
      </c>
      <c r="S194" s="3">
        <v>0</v>
      </c>
      <c r="T194" s="3">
        <v>42</v>
      </c>
      <c r="U194" s="3">
        <v>48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280.74</v>
      </c>
      <c r="X194" s="4">
        <f>IF(ISERROR(VLOOKUP($U$194,'TAR FIN'!$A$1:$O$85,15,0)),0,VLOOKUP($U$194,'TAR FIN'!$A$1:$O$85,15,0))</f>
        <v>241.12</v>
      </c>
      <c r="Y194" s="4"/>
      <c r="Z194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4" s="4">
        <f>('TE BE'!$AB$13+'TE BF'!$AB$13+'TE CVA'!$AB$13)*(1-CUSTOS!$M$36)</f>
        <v>166.87874159582</v>
      </c>
      <c r="AB194" s="4">
        <f t="shared" ref="AB194:AB257" si="16">(J194-K194)*V194</f>
        <v>0</v>
      </c>
      <c r="AC194" s="4">
        <f>(L194-M194)*(W194+X194)+($W$198+$X$198-$W$194-$X$194)*(L194)</f>
        <v>783.01990000000023</v>
      </c>
      <c r="AD194" s="4">
        <f t="shared" ref="AD194:AD257" si="17">(J194-K194)*Y194</f>
        <v>0</v>
      </c>
      <c r="AE194" s="4">
        <f ca="1">(L194-M194)*(Z194+AA194)+($Z$198+$AA$198-$Z$194-$AA$194)*(L194)</f>
        <v>693.63895006125904</v>
      </c>
      <c r="AF194" s="3" t="s">
        <v>612</v>
      </c>
    </row>
    <row r="195" spans="1:32" ht="11.25" customHeight="1" x14ac:dyDescent="0.2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31</v>
      </c>
      <c r="F195" s="3" t="s">
        <v>25</v>
      </c>
      <c r="G195" s="3" t="s">
        <v>25</v>
      </c>
      <c r="H195" s="3" t="s">
        <v>25</v>
      </c>
      <c r="I195" s="6">
        <v>44713</v>
      </c>
      <c r="J195" s="4">
        <v>0</v>
      </c>
      <c r="K195" s="4">
        <v>0</v>
      </c>
      <c r="L195" s="4">
        <v>10.781000000000001</v>
      </c>
      <c r="M195" s="4">
        <v>10.781000000000001</v>
      </c>
      <c r="N195" s="4">
        <v>10.781000000000001</v>
      </c>
      <c r="O195" s="4">
        <v>10.781000000000001</v>
      </c>
      <c r="P195" s="4">
        <v>144</v>
      </c>
      <c r="Q195" s="3" t="s">
        <v>26</v>
      </c>
      <c r="R195" s="3">
        <v>0</v>
      </c>
      <c r="S195" s="3">
        <v>0</v>
      </c>
      <c r="T195" s="3">
        <v>42</v>
      </c>
      <c r="U195" s="3">
        <v>48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280.74</v>
      </c>
      <c r="X195" s="4">
        <f>IF(ISERROR(VLOOKUP($U$195,'TAR FIN'!$A$1:$O$85,15,0)),0,VLOOKUP($U$195,'TAR FIN'!$A$1:$O$85,15,0))</f>
        <v>241.12</v>
      </c>
      <c r="Y195" s="4"/>
      <c r="Z195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5" s="4">
        <f>('TE BE'!$AB$13+'TE BF'!$AB$13+'TE CVA'!$AB$13)*(1-CUSTOS!$M$36)</f>
        <v>166.87874159582</v>
      </c>
      <c r="AB195" s="4">
        <f t="shared" si="16"/>
        <v>0</v>
      </c>
      <c r="AC195" s="4">
        <f>(L195-M195)*(W195+X195)+($W$198+$X$198-$W$195-$X$195)*(L195)</f>
        <v>625.08238000000028</v>
      </c>
      <c r="AD195" s="4">
        <f t="shared" si="17"/>
        <v>0</v>
      </c>
      <c r="AE195" s="4">
        <f ca="1">(L195-M195)*(Z195+AA195)+($Z$198+$AA$198-$Z$195-$AA$195)*(L195)</f>
        <v>553.72984232583735</v>
      </c>
      <c r="AF195" s="3" t="s">
        <v>612</v>
      </c>
    </row>
    <row r="196" spans="1:32" ht="11.25" customHeight="1" x14ac:dyDescent="0.25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31</v>
      </c>
      <c r="F196" s="3" t="s">
        <v>25</v>
      </c>
      <c r="G196" s="3" t="s">
        <v>25</v>
      </c>
      <c r="H196" s="3" t="s">
        <v>25</v>
      </c>
      <c r="I196" s="6">
        <v>44743</v>
      </c>
      <c r="J196" s="4">
        <v>0</v>
      </c>
      <c r="K196" s="4">
        <v>0</v>
      </c>
      <c r="L196" s="4">
        <v>10.792</v>
      </c>
      <c r="M196" s="4">
        <v>10.792</v>
      </c>
      <c r="N196" s="4">
        <v>10.792</v>
      </c>
      <c r="O196" s="4">
        <v>10.792</v>
      </c>
      <c r="P196" s="4">
        <v>149</v>
      </c>
      <c r="Q196" s="3" t="s">
        <v>26</v>
      </c>
      <c r="R196" s="3">
        <v>0</v>
      </c>
      <c r="S196" s="3">
        <v>0</v>
      </c>
      <c r="T196" s="3">
        <v>42</v>
      </c>
      <c r="U196" s="3">
        <v>48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280.74</v>
      </c>
      <c r="X196" s="4">
        <f>IF(ISERROR(VLOOKUP($U$196,'TAR FIN'!$A$1:$O$85,15,0)),0,VLOOKUP($U$196,'TAR FIN'!$A$1:$O$85,15,0))</f>
        <v>241.12</v>
      </c>
      <c r="Y196" s="4"/>
      <c r="Z196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6" s="4">
        <f>('TE BE'!$AB$13+'TE BF'!$AB$13+'TE CVA'!$AB$13)*(1-CUSTOS!$M$36)</f>
        <v>166.87874159582</v>
      </c>
      <c r="AB196" s="4">
        <f t="shared" si="16"/>
        <v>0</v>
      </c>
      <c r="AC196" s="4">
        <f>(L196-M196)*(W196+X196)+($W$198+$X$198-$W$196-$X$196)*(L196)</f>
        <v>625.72016000000019</v>
      </c>
      <c r="AD196" s="4">
        <f t="shared" si="17"/>
        <v>0</v>
      </c>
      <c r="AE196" s="4">
        <f ca="1">(L196-M196)*(Z196+AA196)+($Z$198+$AA$198-$Z$196-$AA$196)*(L196)</f>
        <v>554.29482036735328</v>
      </c>
      <c r="AF196" s="3" t="s">
        <v>612</v>
      </c>
    </row>
    <row r="197" spans="1:32" ht="11.25" customHeight="1" x14ac:dyDescent="0.25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31</v>
      </c>
      <c r="F197" s="3" t="s">
        <v>25</v>
      </c>
      <c r="G197" s="3" t="s">
        <v>25</v>
      </c>
      <c r="H197" s="3" t="s">
        <v>25</v>
      </c>
      <c r="I197" s="6">
        <v>44774</v>
      </c>
      <c r="J197" s="4">
        <v>0</v>
      </c>
      <c r="K197" s="4">
        <v>0</v>
      </c>
      <c r="L197" s="4">
        <v>10.227</v>
      </c>
      <c r="M197" s="4">
        <v>10.227</v>
      </c>
      <c r="N197" s="4">
        <v>10.227</v>
      </c>
      <c r="O197" s="4">
        <v>10.227</v>
      </c>
      <c r="P197" s="4">
        <v>140</v>
      </c>
      <c r="Q197" s="3" t="s">
        <v>26</v>
      </c>
      <c r="R197" s="3">
        <v>0</v>
      </c>
      <c r="S197" s="3">
        <v>0</v>
      </c>
      <c r="T197" s="3">
        <v>42</v>
      </c>
      <c r="U197" s="3">
        <v>48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280.74</v>
      </c>
      <c r="X197" s="4">
        <f>IF(ISERROR(VLOOKUP($U$197,'TAR FIN'!$A$1:$O$85,15,0)),0,VLOOKUP($U$197,'TAR FIN'!$A$1:$O$85,15,0))</f>
        <v>241.12</v>
      </c>
      <c r="Y197" s="4"/>
      <c r="Z197" s="4">
        <f ca="1">('TUSD BE'!$AM$23+'TUSD BF'!$AM$23+'TUSD CVA'!$AM$23-('TUSD BE'!$P$23+'TUSD BF'!$P$23+'TUSD CVA'!$P$23)-('TUSD BE'!$Q$23+'TUSD BF'!$Q$23+'TUSD CVA'!$Q$23)-('TUSD BE'!$R$23+'TUSD BF'!$R$23+'TUSD CVA'!$R$23))*(1-CUSTOS!$M$36)</f>
        <v>295.37601964456007</v>
      </c>
      <c r="AA197" s="4">
        <f>('TE BE'!$AB$13+'TE BF'!$AB$13+'TE CVA'!$AB$13)*(1-CUSTOS!$M$36)</f>
        <v>166.87874159582</v>
      </c>
      <c r="AB197" s="4">
        <f t="shared" si="16"/>
        <v>0</v>
      </c>
      <c r="AC197" s="4">
        <f>(L197-M197)*(W197+X197)+($W$198+$X$198-$W$197-$X$197)*(L197)</f>
        <v>592.96146000000022</v>
      </c>
      <c r="AD197" s="4">
        <f t="shared" si="17"/>
        <v>0</v>
      </c>
      <c r="AE197" s="4">
        <f ca="1">(L197-M197)*(Z197+AA197)+($Z$198+$AA$198-$Z$197-$AA$197)*(L197)</f>
        <v>525.27549368948507</v>
      </c>
      <c r="AF197" s="3" t="s">
        <v>612</v>
      </c>
    </row>
    <row r="198" spans="1:32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32</v>
      </c>
      <c r="F198" s="3" t="s">
        <v>25</v>
      </c>
      <c r="G198" s="3" t="s">
        <v>25</v>
      </c>
      <c r="H198" s="3" t="s">
        <v>25</v>
      </c>
      <c r="I198" s="6">
        <v>44440</v>
      </c>
      <c r="J198" s="4">
        <v>0</v>
      </c>
      <c r="K198" s="4">
        <v>0</v>
      </c>
      <c r="L198" s="4">
        <v>2.3250000000000002</v>
      </c>
      <c r="M198" s="4">
        <v>2.3250000000000002</v>
      </c>
      <c r="N198" s="4">
        <v>2.3250000000000002</v>
      </c>
      <c r="O198" s="4">
        <v>2.3250000000000002</v>
      </c>
      <c r="P198" s="4">
        <v>31</v>
      </c>
      <c r="Q198" s="3" t="s">
        <v>26</v>
      </c>
      <c r="R198" s="3">
        <v>0</v>
      </c>
      <c r="S198" s="3">
        <v>0</v>
      </c>
      <c r="T198" s="3">
        <v>23</v>
      </c>
      <c r="U198" s="3">
        <v>43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311.93</v>
      </c>
      <c r="X198" s="4">
        <f>IF(ISERROR(VLOOKUP($U$198,'TAR FIN'!$A$1:$O$85,15,0)),0,VLOOKUP($U$198,'TAR FIN'!$A$1:$O$85,15,0))</f>
        <v>267.91000000000003</v>
      </c>
      <c r="Y198" s="4"/>
      <c r="Z198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198" s="4">
        <f>('TE BE'!$AB$14+'TE BF'!$AB$14+'TE CVA'!$AB$14)*(1-CUSTOS!$M$37)</f>
        <v>185.42082399535556</v>
      </c>
      <c r="AB198" s="4">
        <f t="shared" si="16"/>
        <v>0</v>
      </c>
      <c r="AC198" s="4">
        <f>(L198-M198)*(W198+X198)+($W$198+$X$198-$W$198-$X$198)*(L198)</f>
        <v>0</v>
      </c>
      <c r="AD198" s="4">
        <f t="shared" si="17"/>
        <v>0</v>
      </c>
      <c r="AE198" s="4">
        <f ca="1">(L198-M198)*(Z198+AA198)+($Z$198+$AA$198-$Z$198-$AA$198)*(L198)</f>
        <v>-6.6080474425689322E-14</v>
      </c>
      <c r="AF198" s="3" t="s">
        <v>612</v>
      </c>
    </row>
    <row r="199" spans="1:32" ht="11.25" customHeight="1" x14ac:dyDescent="0.25">
      <c r="A199" s="3" t="s">
        <v>21</v>
      </c>
      <c r="B199" s="3" t="s">
        <v>22</v>
      </c>
      <c r="C199" s="3" t="s">
        <v>23</v>
      </c>
      <c r="D199" s="3" t="s">
        <v>24</v>
      </c>
      <c r="E199" s="3" t="s">
        <v>32</v>
      </c>
      <c r="F199" s="3" t="s">
        <v>25</v>
      </c>
      <c r="G199" s="3" t="s">
        <v>25</v>
      </c>
      <c r="H199" s="3" t="s">
        <v>25</v>
      </c>
      <c r="I199" s="6">
        <v>44470</v>
      </c>
      <c r="J199" s="4">
        <v>0</v>
      </c>
      <c r="K199" s="4">
        <v>0</v>
      </c>
      <c r="L199" s="4">
        <v>3.0830000000000002</v>
      </c>
      <c r="M199" s="4">
        <v>3.0830000000000002</v>
      </c>
      <c r="N199" s="4">
        <v>3.0830000000000002</v>
      </c>
      <c r="O199" s="4">
        <v>3.0830000000000002</v>
      </c>
      <c r="P199" s="4">
        <v>41</v>
      </c>
      <c r="Q199" s="3" t="s">
        <v>26</v>
      </c>
      <c r="R199" s="3">
        <v>0</v>
      </c>
      <c r="S199" s="3">
        <v>0</v>
      </c>
      <c r="T199" s="3">
        <v>23</v>
      </c>
      <c r="U199" s="3">
        <v>43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311.93</v>
      </c>
      <c r="X199" s="4">
        <f>IF(ISERROR(VLOOKUP($U$199,'TAR FIN'!$A$1:$O$85,15,0)),0,VLOOKUP($U$199,'TAR FIN'!$A$1:$O$85,15,0))</f>
        <v>267.91000000000003</v>
      </c>
      <c r="Y199" s="4"/>
      <c r="Z199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199" s="4">
        <f>('TE BE'!$AB$14+'TE BF'!$AB$14+'TE CVA'!$AB$14)*(1-CUSTOS!$M$37)</f>
        <v>185.42082399535556</v>
      </c>
      <c r="AB199" s="4">
        <f t="shared" si="16"/>
        <v>0</v>
      </c>
      <c r="AC199" s="4">
        <f>(L199-M199)*(W199+X199)+($W$198+$X$198-$W$199-$X$199)*(L199)</f>
        <v>0</v>
      </c>
      <c r="AD199" s="4">
        <f t="shared" si="17"/>
        <v>0</v>
      </c>
      <c r="AE199" s="4">
        <f ca="1">(L199-M199)*(Z199+AA199)+($Z$198+$AA$198-$Z$199-$AA$199)*(L199)</f>
        <v>-8.762413017393556E-14</v>
      </c>
      <c r="AF199" s="3" t="s">
        <v>612</v>
      </c>
    </row>
    <row r="200" spans="1:32" ht="11.25" customHeight="1" x14ac:dyDescent="0.25">
      <c r="A200" s="3" t="s">
        <v>21</v>
      </c>
      <c r="B200" s="3" t="s">
        <v>22</v>
      </c>
      <c r="C200" s="3" t="s">
        <v>23</v>
      </c>
      <c r="D200" s="3" t="s">
        <v>24</v>
      </c>
      <c r="E200" s="3" t="s">
        <v>32</v>
      </c>
      <c r="F200" s="3" t="s">
        <v>25</v>
      </c>
      <c r="G200" s="3" t="s">
        <v>25</v>
      </c>
      <c r="H200" s="3" t="s">
        <v>25</v>
      </c>
      <c r="I200" s="6">
        <v>44501</v>
      </c>
      <c r="J200" s="4">
        <v>0</v>
      </c>
      <c r="K200" s="4">
        <v>0</v>
      </c>
      <c r="L200" s="4">
        <v>2.3530000000000002</v>
      </c>
      <c r="M200" s="4">
        <v>2.3530000000000002</v>
      </c>
      <c r="N200" s="4">
        <v>2.3530000000000002</v>
      </c>
      <c r="O200" s="4">
        <v>2.3530000000000002</v>
      </c>
      <c r="P200" s="4">
        <v>34</v>
      </c>
      <c r="Q200" s="3" t="s">
        <v>26</v>
      </c>
      <c r="R200" s="3">
        <v>0</v>
      </c>
      <c r="S200" s="3">
        <v>0</v>
      </c>
      <c r="T200" s="3">
        <v>23</v>
      </c>
      <c r="U200" s="3">
        <v>43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311.93</v>
      </c>
      <c r="X200" s="4">
        <f>IF(ISERROR(VLOOKUP($U$200,'TAR FIN'!$A$1:$O$85,15,0)),0,VLOOKUP($U$200,'TAR FIN'!$A$1:$O$85,15,0))</f>
        <v>267.91000000000003</v>
      </c>
      <c r="Y200" s="4"/>
      <c r="Z200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0" s="4">
        <f>('TE BE'!$AB$14+'TE BF'!$AB$14+'TE CVA'!$AB$14)*(1-CUSTOS!$M$37)</f>
        <v>185.42082399535556</v>
      </c>
      <c r="AB200" s="4">
        <f t="shared" si="16"/>
        <v>0</v>
      </c>
      <c r="AC200" s="4">
        <f>(L200-M200)*(W200+X200)+($W$198+$X$198-$W$200-$X$200)*(L200)</f>
        <v>0</v>
      </c>
      <c r="AD200" s="4">
        <f t="shared" si="17"/>
        <v>0</v>
      </c>
      <c r="AE200" s="4">
        <f ca="1">(L200-M200)*(Z200+AA200)+($Z$198+$AA$198-$Z$200-$AA$200)*(L200)</f>
        <v>-6.6876282289740635E-14</v>
      </c>
      <c r="AF200" s="3" t="s">
        <v>612</v>
      </c>
    </row>
    <row r="201" spans="1:32" ht="11.25" customHeight="1" x14ac:dyDescent="0.25">
      <c r="A201" s="3" t="s">
        <v>21</v>
      </c>
      <c r="B201" s="3" t="s">
        <v>22</v>
      </c>
      <c r="C201" s="3" t="s">
        <v>23</v>
      </c>
      <c r="D201" s="3" t="s">
        <v>24</v>
      </c>
      <c r="E201" s="3" t="s">
        <v>32</v>
      </c>
      <c r="F201" s="3" t="s">
        <v>25</v>
      </c>
      <c r="G201" s="3" t="s">
        <v>25</v>
      </c>
      <c r="H201" s="3" t="s">
        <v>25</v>
      </c>
      <c r="I201" s="6">
        <v>44531</v>
      </c>
      <c r="J201" s="4">
        <v>0</v>
      </c>
      <c r="K201" s="4">
        <v>0</v>
      </c>
      <c r="L201" s="4">
        <v>3.536</v>
      </c>
      <c r="M201" s="4">
        <v>3.536</v>
      </c>
      <c r="N201" s="4">
        <v>3.536</v>
      </c>
      <c r="O201" s="4">
        <v>3.536</v>
      </c>
      <c r="P201" s="4">
        <v>50</v>
      </c>
      <c r="Q201" s="3" t="s">
        <v>26</v>
      </c>
      <c r="R201" s="3">
        <v>0</v>
      </c>
      <c r="S201" s="3">
        <v>0</v>
      </c>
      <c r="T201" s="3">
        <v>23</v>
      </c>
      <c r="U201" s="3">
        <v>43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311.93</v>
      </c>
      <c r="X201" s="4">
        <f>IF(ISERROR(VLOOKUP($U$201,'TAR FIN'!$A$1:$O$85,15,0)),0,VLOOKUP($U$201,'TAR FIN'!$A$1:$O$85,15,0))</f>
        <v>267.91000000000003</v>
      </c>
      <c r="Y201" s="4"/>
      <c r="Z201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1" s="4">
        <f>('TE BE'!$AB$14+'TE BF'!$AB$14+'TE CVA'!$AB$14)*(1-CUSTOS!$M$37)</f>
        <v>185.42082399535556</v>
      </c>
      <c r="AB201" s="4">
        <f t="shared" si="16"/>
        <v>0</v>
      </c>
      <c r="AC201" s="4">
        <f>(L201-M201)*(W201+X201)+($W$198+$X$198-$W$201-$X$201)*(L201)</f>
        <v>0</v>
      </c>
      <c r="AD201" s="4">
        <f t="shared" si="17"/>
        <v>0</v>
      </c>
      <c r="AE201" s="4">
        <f ca="1">(L201-M201)*(Z201+AA201)+($Z$198+$AA$198-$Z$201-$AA$201)*(L201)</f>
        <v>-1.0049916454590857E-13</v>
      </c>
      <c r="AF201" s="3" t="s">
        <v>612</v>
      </c>
    </row>
    <row r="202" spans="1:32" ht="11.25" customHeight="1" x14ac:dyDescent="0.25">
      <c r="A202" s="3" t="s">
        <v>21</v>
      </c>
      <c r="B202" s="3" t="s">
        <v>22</v>
      </c>
      <c r="C202" s="3" t="s">
        <v>23</v>
      </c>
      <c r="D202" s="3" t="s">
        <v>24</v>
      </c>
      <c r="E202" s="3" t="s">
        <v>32</v>
      </c>
      <c r="F202" s="3" t="s">
        <v>25</v>
      </c>
      <c r="G202" s="3" t="s">
        <v>25</v>
      </c>
      <c r="H202" s="3" t="s">
        <v>25</v>
      </c>
      <c r="I202" s="6">
        <v>44562</v>
      </c>
      <c r="J202" s="4">
        <v>0</v>
      </c>
      <c r="K202" s="4">
        <v>0</v>
      </c>
      <c r="L202" s="4">
        <v>3.3959999999999999</v>
      </c>
      <c r="M202" s="4">
        <v>3.3959999999999999</v>
      </c>
      <c r="N202" s="4">
        <v>3.3959999999999999</v>
      </c>
      <c r="O202" s="4">
        <v>3.3959999999999999</v>
      </c>
      <c r="P202" s="4">
        <v>45</v>
      </c>
      <c r="Q202" s="3" t="s">
        <v>26</v>
      </c>
      <c r="R202" s="3">
        <v>0</v>
      </c>
      <c r="S202" s="3">
        <v>0</v>
      </c>
      <c r="T202" s="3">
        <v>23</v>
      </c>
      <c r="U202" s="3">
        <v>43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311.93</v>
      </c>
      <c r="X202" s="4">
        <f>IF(ISERROR(VLOOKUP($U$202,'TAR FIN'!$A$1:$O$85,15,0)),0,VLOOKUP($U$202,'TAR FIN'!$A$1:$O$85,15,0))</f>
        <v>267.91000000000003</v>
      </c>
      <c r="Y202" s="4"/>
      <c r="Z202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2" s="4">
        <f>('TE BE'!$AB$14+'TE BF'!$AB$14+'TE CVA'!$AB$14)*(1-CUSTOS!$M$37)</f>
        <v>185.42082399535556</v>
      </c>
      <c r="AB202" s="4">
        <f t="shared" si="16"/>
        <v>0</v>
      </c>
      <c r="AC202" s="4">
        <f>(L202-M202)*(W202+X202)+($W$198+$X$198-$W$202-$X$202)*(L202)</f>
        <v>0</v>
      </c>
      <c r="AD202" s="4">
        <f t="shared" si="17"/>
        <v>0</v>
      </c>
      <c r="AE202" s="4">
        <f ca="1">(L202-M202)*(Z202+AA202)+($Z$198+$AA$198-$Z$202-$AA$202)*(L202)</f>
        <v>-9.6520125225652007E-14</v>
      </c>
      <c r="AF202" s="3" t="s">
        <v>612</v>
      </c>
    </row>
    <row r="203" spans="1:32" ht="11.25" customHeight="1" x14ac:dyDescent="0.25">
      <c r="A203" s="3" t="s">
        <v>21</v>
      </c>
      <c r="B203" s="3" t="s">
        <v>22</v>
      </c>
      <c r="C203" s="3" t="s">
        <v>23</v>
      </c>
      <c r="D203" s="3" t="s">
        <v>24</v>
      </c>
      <c r="E203" s="3" t="s">
        <v>32</v>
      </c>
      <c r="F203" s="3" t="s">
        <v>25</v>
      </c>
      <c r="G203" s="3" t="s">
        <v>25</v>
      </c>
      <c r="H203" s="3" t="s">
        <v>25</v>
      </c>
      <c r="I203" s="6">
        <v>44593</v>
      </c>
      <c r="J203" s="4">
        <v>0</v>
      </c>
      <c r="K203" s="4">
        <v>0</v>
      </c>
      <c r="L203" s="4">
        <v>3.423</v>
      </c>
      <c r="M203" s="4">
        <v>3.423</v>
      </c>
      <c r="N203" s="4">
        <v>3.423</v>
      </c>
      <c r="O203" s="4">
        <v>3.423</v>
      </c>
      <c r="P203" s="4">
        <v>44</v>
      </c>
      <c r="Q203" s="3" t="s">
        <v>26</v>
      </c>
      <c r="R203" s="3">
        <v>0</v>
      </c>
      <c r="S203" s="3">
        <v>0</v>
      </c>
      <c r="T203" s="3">
        <v>23</v>
      </c>
      <c r="U203" s="3">
        <v>43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311.93</v>
      </c>
      <c r="X203" s="4">
        <f>IF(ISERROR(VLOOKUP($U$203,'TAR FIN'!$A$1:$O$85,15,0)),0,VLOOKUP($U$203,'TAR FIN'!$A$1:$O$85,15,0))</f>
        <v>267.91000000000003</v>
      </c>
      <c r="Y203" s="4"/>
      <c r="Z203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3" s="4">
        <f>('TE BE'!$AB$14+'TE BF'!$AB$14+'TE CVA'!$AB$14)*(1-CUSTOS!$M$37)</f>
        <v>185.42082399535556</v>
      </c>
      <c r="AB203" s="4">
        <f t="shared" si="16"/>
        <v>0</v>
      </c>
      <c r="AC203" s="4">
        <f>(L203-M203)*(W203+X203)+($W$198+$X$198-$W$203-$X$203)*(L203)</f>
        <v>0</v>
      </c>
      <c r="AD203" s="4">
        <f t="shared" si="17"/>
        <v>0</v>
      </c>
      <c r="AE203" s="4">
        <f ca="1">(L203-M203)*(Z203+AA203)+($Z$198+$AA$198-$Z$203-$AA$203)*(L203)</f>
        <v>-9.7287511380272919E-14</v>
      </c>
      <c r="AF203" s="3" t="s">
        <v>612</v>
      </c>
    </row>
    <row r="204" spans="1:32" ht="11.25" customHeight="1" x14ac:dyDescent="0.25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32</v>
      </c>
      <c r="F204" s="3" t="s">
        <v>25</v>
      </c>
      <c r="G204" s="3" t="s">
        <v>25</v>
      </c>
      <c r="H204" s="3" t="s">
        <v>25</v>
      </c>
      <c r="I204" s="6">
        <v>44621</v>
      </c>
      <c r="J204" s="4">
        <v>0</v>
      </c>
      <c r="K204" s="4">
        <v>0</v>
      </c>
      <c r="L204" s="4">
        <v>4.8380000000000001</v>
      </c>
      <c r="M204" s="4">
        <v>4.8380000000000001</v>
      </c>
      <c r="N204" s="4">
        <v>4.8380000000000001</v>
      </c>
      <c r="O204" s="4">
        <v>4.8380000000000001</v>
      </c>
      <c r="P204" s="4">
        <v>57</v>
      </c>
      <c r="Q204" s="3" t="s">
        <v>26</v>
      </c>
      <c r="R204" s="3">
        <v>0</v>
      </c>
      <c r="S204" s="3">
        <v>0</v>
      </c>
      <c r="T204" s="3">
        <v>23</v>
      </c>
      <c r="U204" s="3">
        <v>43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311.93</v>
      </c>
      <c r="X204" s="4">
        <f>IF(ISERROR(VLOOKUP($U$204,'TAR FIN'!$A$1:$O$85,15,0)),0,VLOOKUP($U$204,'TAR FIN'!$A$1:$O$85,15,0))</f>
        <v>267.91000000000003</v>
      </c>
      <c r="Y204" s="4"/>
      <c r="Z204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4" s="4">
        <f>('TE BE'!$AB$14+'TE BF'!$AB$14+'TE CVA'!$AB$14)*(1-CUSTOS!$M$37)</f>
        <v>185.42082399535556</v>
      </c>
      <c r="AB204" s="4">
        <f t="shared" si="16"/>
        <v>0</v>
      </c>
      <c r="AC204" s="4">
        <f>(L204-M204)*(W204+X204)+($W$198+$X$198-$W$204-$X$204)*(L204)</f>
        <v>0</v>
      </c>
      <c r="AD204" s="4">
        <f t="shared" si="17"/>
        <v>0</v>
      </c>
      <c r="AE204" s="4">
        <f ca="1">(L204-M204)*(Z204+AA204)+($Z$198+$AA$198-$Z$204-$AA$204)*(L204)</f>
        <v>-1.3750423022429459E-13</v>
      </c>
      <c r="AF204" s="3" t="s">
        <v>612</v>
      </c>
    </row>
    <row r="205" spans="1:32" ht="11.25" customHeight="1" x14ac:dyDescent="0.25">
      <c r="A205" s="3" t="s">
        <v>21</v>
      </c>
      <c r="B205" s="3" t="s">
        <v>22</v>
      </c>
      <c r="C205" s="3" t="s">
        <v>23</v>
      </c>
      <c r="D205" s="3" t="s">
        <v>24</v>
      </c>
      <c r="E205" s="3" t="s">
        <v>32</v>
      </c>
      <c r="F205" s="3" t="s">
        <v>25</v>
      </c>
      <c r="G205" s="3" t="s">
        <v>25</v>
      </c>
      <c r="H205" s="3" t="s">
        <v>25</v>
      </c>
      <c r="I205" s="6">
        <v>44652</v>
      </c>
      <c r="J205" s="4">
        <v>0</v>
      </c>
      <c r="K205" s="4">
        <v>0</v>
      </c>
      <c r="L205" s="4">
        <v>4.3819999999999997</v>
      </c>
      <c r="M205" s="4">
        <v>4.3819999999999997</v>
      </c>
      <c r="N205" s="4">
        <v>4.3819999999999997</v>
      </c>
      <c r="O205" s="4">
        <v>4.3819999999999997</v>
      </c>
      <c r="P205" s="4">
        <v>48</v>
      </c>
      <c r="Q205" s="3" t="s">
        <v>26</v>
      </c>
      <c r="R205" s="3">
        <v>0</v>
      </c>
      <c r="S205" s="3">
        <v>0</v>
      </c>
      <c r="T205" s="3">
        <v>23</v>
      </c>
      <c r="U205" s="3">
        <v>43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311.93</v>
      </c>
      <c r="X205" s="4">
        <f>IF(ISERROR(VLOOKUP($U$205,'TAR FIN'!$A$1:$O$85,15,0)),0,VLOOKUP($U$205,'TAR FIN'!$A$1:$O$85,15,0))</f>
        <v>267.91000000000003</v>
      </c>
      <c r="Y205" s="4"/>
      <c r="Z205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5" s="4">
        <f>('TE BE'!$AB$14+'TE BF'!$AB$14+'TE CVA'!$AB$14)*(1-CUSTOS!$M$37)</f>
        <v>185.42082399535556</v>
      </c>
      <c r="AB205" s="4">
        <f t="shared" si="16"/>
        <v>0</v>
      </c>
      <c r="AC205" s="4">
        <f>(L205-M205)*(W205+X205)+($W$198+$X$198-$W$205-$X$205)*(L205)</f>
        <v>0</v>
      </c>
      <c r="AD205" s="4">
        <f t="shared" si="17"/>
        <v>0</v>
      </c>
      <c r="AE205" s="4">
        <f ca="1">(L205-M205)*(Z205+AA205)+($Z$198+$AA$198-$Z$205-$AA$205)*(L205)</f>
        <v>-1.2454393072403035E-13</v>
      </c>
      <c r="AF205" s="3" t="s">
        <v>612</v>
      </c>
    </row>
    <row r="206" spans="1:32" ht="11.25" customHeight="1" x14ac:dyDescent="0.25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32</v>
      </c>
      <c r="F206" s="3" t="s">
        <v>25</v>
      </c>
      <c r="G206" s="3" t="s">
        <v>25</v>
      </c>
      <c r="H206" s="3" t="s">
        <v>25</v>
      </c>
      <c r="I206" s="6">
        <v>44682</v>
      </c>
      <c r="J206" s="4">
        <v>0</v>
      </c>
      <c r="K206" s="4">
        <v>0</v>
      </c>
      <c r="L206" s="4">
        <v>2.6850000000000001</v>
      </c>
      <c r="M206" s="4">
        <v>2.6850000000000001</v>
      </c>
      <c r="N206" s="4">
        <v>2.6850000000000001</v>
      </c>
      <c r="O206" s="4">
        <v>2.6850000000000001</v>
      </c>
      <c r="P206" s="4">
        <v>37</v>
      </c>
      <c r="Q206" s="3" t="s">
        <v>26</v>
      </c>
      <c r="R206" s="3">
        <v>0</v>
      </c>
      <c r="S206" s="3">
        <v>0</v>
      </c>
      <c r="T206" s="3">
        <v>23</v>
      </c>
      <c r="U206" s="3">
        <v>43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311.93</v>
      </c>
      <c r="X206" s="4">
        <f>IF(ISERROR(VLOOKUP($U$206,'TAR FIN'!$A$1:$O$85,15,0)),0,VLOOKUP($U$206,'TAR FIN'!$A$1:$O$85,15,0))</f>
        <v>267.91000000000003</v>
      </c>
      <c r="Y206" s="4"/>
      <c r="Z206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6" s="4">
        <f>('TE BE'!$AB$14+'TE BF'!$AB$14+'TE CVA'!$AB$14)*(1-CUSTOS!$M$37)</f>
        <v>185.42082399535556</v>
      </c>
      <c r="AB206" s="4">
        <f t="shared" si="16"/>
        <v>0</v>
      </c>
      <c r="AC206" s="4">
        <f>(L206-M206)*(W206+X206)+($W$198+$X$198-$W$206-$X$206)*(L206)</f>
        <v>0</v>
      </c>
      <c r="AD206" s="4">
        <f t="shared" si="17"/>
        <v>0</v>
      </c>
      <c r="AE206" s="4">
        <f ca="1">(L206-M206)*(Z206+AA206)+($Z$198+$AA$198-$Z$206-$AA$206)*(L206)</f>
        <v>-7.6312289820634761E-14</v>
      </c>
      <c r="AF206" s="3" t="s">
        <v>612</v>
      </c>
    </row>
    <row r="207" spans="1:32" ht="11.25" customHeight="1" x14ac:dyDescent="0.25">
      <c r="A207" s="3" t="s">
        <v>21</v>
      </c>
      <c r="B207" s="3" t="s">
        <v>22</v>
      </c>
      <c r="C207" s="3" t="s">
        <v>23</v>
      </c>
      <c r="D207" s="3" t="s">
        <v>24</v>
      </c>
      <c r="E207" s="3" t="s">
        <v>32</v>
      </c>
      <c r="F207" s="3" t="s">
        <v>25</v>
      </c>
      <c r="G207" s="3" t="s">
        <v>25</v>
      </c>
      <c r="H207" s="3" t="s">
        <v>25</v>
      </c>
      <c r="I207" s="6">
        <v>44713</v>
      </c>
      <c r="J207" s="4">
        <v>0</v>
      </c>
      <c r="K207" s="4">
        <v>0</v>
      </c>
      <c r="L207" s="4">
        <v>1.996</v>
      </c>
      <c r="M207" s="4">
        <v>1.996</v>
      </c>
      <c r="N207" s="4">
        <v>1.996</v>
      </c>
      <c r="O207" s="4">
        <v>1.996</v>
      </c>
      <c r="P207" s="4">
        <v>27</v>
      </c>
      <c r="Q207" s="3" t="s">
        <v>26</v>
      </c>
      <c r="R207" s="3">
        <v>0</v>
      </c>
      <c r="S207" s="3">
        <v>0</v>
      </c>
      <c r="T207" s="3">
        <v>23</v>
      </c>
      <c r="U207" s="3">
        <v>43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311.93</v>
      </c>
      <c r="X207" s="4">
        <f>IF(ISERROR(VLOOKUP($U$207,'TAR FIN'!$A$1:$O$85,15,0)),0,VLOOKUP($U$207,'TAR FIN'!$A$1:$O$85,15,0))</f>
        <v>267.91000000000003</v>
      </c>
      <c r="Y207" s="4"/>
      <c r="Z207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7" s="4">
        <f>('TE BE'!$AB$14+'TE BF'!$AB$14+'TE CVA'!$AB$14)*(1-CUSTOS!$M$37)</f>
        <v>185.42082399535556</v>
      </c>
      <c r="AB207" s="4">
        <f t="shared" si="16"/>
        <v>0</v>
      </c>
      <c r="AC207" s="4">
        <f>(L207-M207)*(W207+X207)+($W$198+$X$198-$W$207-$X$207)*(L207)</f>
        <v>0</v>
      </c>
      <c r="AD207" s="4">
        <f t="shared" si="17"/>
        <v>0</v>
      </c>
      <c r="AE207" s="4">
        <f ca="1">(L207-M207)*(Z207+AA207)+($Z$198+$AA$198-$Z$207-$AA$207)*(L207)</f>
        <v>-5.6729732023086399E-14</v>
      </c>
      <c r="AF207" s="3" t="s">
        <v>612</v>
      </c>
    </row>
    <row r="208" spans="1:32" ht="11.25" customHeight="1" x14ac:dyDescent="0.25">
      <c r="A208" s="3" t="s">
        <v>21</v>
      </c>
      <c r="B208" s="3" t="s">
        <v>22</v>
      </c>
      <c r="C208" s="3" t="s">
        <v>23</v>
      </c>
      <c r="D208" s="3" t="s">
        <v>24</v>
      </c>
      <c r="E208" s="3" t="s">
        <v>32</v>
      </c>
      <c r="F208" s="3" t="s">
        <v>25</v>
      </c>
      <c r="G208" s="3" t="s">
        <v>25</v>
      </c>
      <c r="H208" s="3" t="s">
        <v>25</v>
      </c>
      <c r="I208" s="6">
        <v>44743</v>
      </c>
      <c r="J208" s="4">
        <v>0</v>
      </c>
      <c r="K208" s="4">
        <v>0</v>
      </c>
      <c r="L208" s="4">
        <v>2.0640000000000001</v>
      </c>
      <c r="M208" s="4">
        <v>2.0640000000000001</v>
      </c>
      <c r="N208" s="4">
        <v>2.0640000000000001</v>
      </c>
      <c r="O208" s="4">
        <v>2.0640000000000001</v>
      </c>
      <c r="P208" s="4">
        <v>27</v>
      </c>
      <c r="Q208" s="3" t="s">
        <v>26</v>
      </c>
      <c r="R208" s="3">
        <v>0</v>
      </c>
      <c r="S208" s="3">
        <v>0</v>
      </c>
      <c r="T208" s="3">
        <v>23</v>
      </c>
      <c r="U208" s="3">
        <v>43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311.93</v>
      </c>
      <c r="X208" s="4">
        <f>IF(ISERROR(VLOOKUP($U$208,'TAR FIN'!$A$1:$O$85,15,0)),0,VLOOKUP($U$208,'TAR FIN'!$A$1:$O$85,15,0))</f>
        <v>267.91000000000003</v>
      </c>
      <c r="Y208" s="4"/>
      <c r="Z208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8" s="4">
        <f>('TE BE'!$AB$14+'TE BF'!$AB$14+'TE CVA'!$AB$14)*(1-CUSTOS!$M$37)</f>
        <v>185.42082399535556</v>
      </c>
      <c r="AB208" s="4">
        <f t="shared" si="16"/>
        <v>0</v>
      </c>
      <c r="AC208" s="4">
        <f>(L208-M208)*(W208+X208)+($W$198+$X$198-$W$208-$X$208)*(L208)</f>
        <v>0</v>
      </c>
      <c r="AD208" s="4">
        <f t="shared" si="17"/>
        <v>0</v>
      </c>
      <c r="AE208" s="4">
        <f ca="1">(L208-M208)*(Z208+AA208)+($Z$198+$AA$198-$Z$208-$AA$208)*(L208)</f>
        <v>-5.8662408264353873E-14</v>
      </c>
      <c r="AF208" s="3" t="s">
        <v>612</v>
      </c>
    </row>
    <row r="209" spans="1:32" ht="11.25" customHeight="1" x14ac:dyDescent="0.25">
      <c r="A209" s="3" t="s">
        <v>21</v>
      </c>
      <c r="B209" s="3" t="s">
        <v>22</v>
      </c>
      <c r="C209" s="3" t="s">
        <v>23</v>
      </c>
      <c r="D209" s="3" t="s">
        <v>24</v>
      </c>
      <c r="E209" s="3" t="s">
        <v>32</v>
      </c>
      <c r="F209" s="3" t="s">
        <v>25</v>
      </c>
      <c r="G209" s="3" t="s">
        <v>25</v>
      </c>
      <c r="H209" s="3" t="s">
        <v>25</v>
      </c>
      <c r="I209" s="6">
        <v>44774</v>
      </c>
      <c r="J209" s="4">
        <v>0</v>
      </c>
      <c r="K209" s="4">
        <v>0</v>
      </c>
      <c r="L209" s="4">
        <v>2.57</v>
      </c>
      <c r="M209" s="4">
        <v>2.57</v>
      </c>
      <c r="N209" s="4">
        <v>2.57</v>
      </c>
      <c r="O209" s="4">
        <v>2.57</v>
      </c>
      <c r="P209" s="4">
        <v>28</v>
      </c>
      <c r="Q209" s="3" t="s">
        <v>26</v>
      </c>
      <c r="R209" s="3">
        <v>0</v>
      </c>
      <c r="S209" s="3">
        <v>0</v>
      </c>
      <c r="T209" s="3">
        <v>23</v>
      </c>
      <c r="U209" s="3">
        <v>43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311.93</v>
      </c>
      <c r="X209" s="4">
        <f>IF(ISERROR(VLOOKUP($U$209,'TAR FIN'!$A$1:$O$85,15,0)),0,VLOOKUP($U$209,'TAR FIN'!$A$1:$O$85,15,0))</f>
        <v>267.91000000000003</v>
      </c>
      <c r="Y209" s="4"/>
      <c r="Z209" s="4">
        <f ca="1">('TUSD BE'!$AM$24+'TUSD BF'!$AM$24+'TUSD CVA'!$AM$24-('TUSD BE'!$P$24+'TUSD BF'!$P$24+'TUSD CVA'!$P$24)-('TUSD BE'!$Q$24+'TUSD BF'!$Q$24+'TUSD CVA'!$Q$24)-('TUSD BE'!$R$24+'TUSD BF'!$R$24+'TUSD CVA'!$R$24))*(1-CUSTOS!$M$37)</f>
        <v>328.19557738284453</v>
      </c>
      <c r="AA209" s="4">
        <f>('TE BE'!$AB$14+'TE BF'!$AB$14+'TE CVA'!$AB$14)*(1-CUSTOS!$M$37)</f>
        <v>185.42082399535556</v>
      </c>
      <c r="AB209" s="4">
        <f t="shared" si="16"/>
        <v>0</v>
      </c>
      <c r="AC209" s="4">
        <f>(L209-M209)*(W209+X209)+($W$198+$X$198-$W$209-$X$209)*(L209)</f>
        <v>0</v>
      </c>
      <c r="AD209" s="4">
        <f t="shared" si="17"/>
        <v>0</v>
      </c>
      <c r="AE209" s="4">
        <f ca="1">(L209-M209)*(Z209+AA209)+($Z$198+$AA$198-$Z$209-$AA$209)*(L209)</f>
        <v>-7.3043793236138295E-14</v>
      </c>
      <c r="AF209" s="3" t="s">
        <v>612</v>
      </c>
    </row>
    <row r="210" spans="1:32" ht="11.25" customHeight="1" x14ac:dyDescent="0.25">
      <c r="A210" s="3" t="s">
        <v>21</v>
      </c>
      <c r="B210" s="3" t="s">
        <v>40</v>
      </c>
      <c r="C210" s="3" t="s">
        <v>23</v>
      </c>
      <c r="D210" s="3" t="s">
        <v>41</v>
      </c>
      <c r="E210" s="3" t="s">
        <v>50</v>
      </c>
      <c r="F210" s="3" t="s">
        <v>51</v>
      </c>
      <c r="G210" s="3" t="s">
        <v>25</v>
      </c>
      <c r="H210" s="3" t="s">
        <v>25</v>
      </c>
      <c r="I210" s="6">
        <v>44440</v>
      </c>
      <c r="J210" s="4">
        <v>0</v>
      </c>
      <c r="K210" s="4">
        <v>0</v>
      </c>
      <c r="L210" s="4">
        <v>114.512</v>
      </c>
      <c r="M210" s="4">
        <v>114.512</v>
      </c>
      <c r="N210" s="4">
        <v>114.512</v>
      </c>
      <c r="O210" s="4">
        <v>114.512</v>
      </c>
      <c r="P210" s="4">
        <v>0</v>
      </c>
      <c r="Q210" s="3" t="s">
        <v>26</v>
      </c>
      <c r="R210" s="3">
        <v>0</v>
      </c>
      <c r="S210" s="3">
        <v>0</v>
      </c>
      <c r="T210" s="3">
        <v>20</v>
      </c>
      <c r="U210" s="3">
        <v>52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323.62</v>
      </c>
      <c r="X210" s="4">
        <f>IF(ISERROR(VLOOKUP($U$210,'TAR FIN'!$A$1:$O$85,15,0)),0,VLOOKUP($U$210,'TAR FIN'!$A$1:$O$85,15,0))</f>
        <v>235.76</v>
      </c>
      <c r="Y210" s="4"/>
      <c r="Z210" s="4">
        <f ca="1">('TUSD BE'!$AM$33+'TUSD BF'!$AM$33+'TUSD CVA'!$AM$33)*(1-CUSTOS!$M$38)</f>
        <v>411.34661537566791</v>
      </c>
      <c r="AA210" s="4">
        <f>('TE BE'!$AB$23+'TE BF'!$AB$23+'TE CVA'!$AB$23)*(1-CUSTOS!$M$38)</f>
        <v>174.29557455563423</v>
      </c>
      <c r="AB210" s="4">
        <f t="shared" si="16"/>
        <v>0</v>
      </c>
      <c r="AC210" s="4">
        <f>(L210-M210)*(W210+X210)+($W$158+$X$158-$W$210-$X$210)*(L210)</f>
        <v>8734.9753600000095</v>
      </c>
      <c r="AD210" s="4">
        <f t="shared" si="17"/>
        <v>0</v>
      </c>
      <c r="AE210" s="4">
        <f ca="1">(L210-M210)*(Z210+AA210)+($Z$158+$AA$158-$Z$210-$AA$210)*(L210)</f>
        <v>4280.6207523455359</v>
      </c>
      <c r="AF210" s="3" t="s">
        <v>610</v>
      </c>
    </row>
    <row r="211" spans="1:32" ht="11.25" customHeight="1" x14ac:dyDescent="0.25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50</v>
      </c>
      <c r="F211" s="3" t="s">
        <v>51</v>
      </c>
      <c r="G211" s="3" t="s">
        <v>25</v>
      </c>
      <c r="H211" s="3" t="s">
        <v>25</v>
      </c>
      <c r="I211" s="6">
        <v>44470</v>
      </c>
      <c r="J211" s="4">
        <v>0</v>
      </c>
      <c r="K211" s="4">
        <v>0</v>
      </c>
      <c r="L211" s="4">
        <v>145.73699999999999</v>
      </c>
      <c r="M211" s="4">
        <v>145.73699999999999</v>
      </c>
      <c r="N211" s="4">
        <v>145.73699999999999</v>
      </c>
      <c r="O211" s="4">
        <v>145.73699999999999</v>
      </c>
      <c r="P211" s="4">
        <v>0</v>
      </c>
      <c r="Q211" s="3" t="s">
        <v>26</v>
      </c>
      <c r="R211" s="3">
        <v>0</v>
      </c>
      <c r="S211" s="3">
        <v>0</v>
      </c>
      <c r="T211" s="3">
        <v>20</v>
      </c>
      <c r="U211" s="3">
        <v>52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323.62</v>
      </c>
      <c r="X211" s="4">
        <f>IF(ISERROR(VLOOKUP($U$211,'TAR FIN'!$A$1:$O$85,15,0)),0,VLOOKUP($U$211,'TAR FIN'!$A$1:$O$85,15,0))</f>
        <v>235.76</v>
      </c>
      <c r="Y211" s="4"/>
      <c r="Z211" s="4">
        <f ca="1">('TUSD BE'!$AM$33+'TUSD BF'!$AM$33+'TUSD CVA'!$AM$33)*(1-CUSTOS!$M$38)</f>
        <v>411.34661537566791</v>
      </c>
      <c r="AA211" s="4">
        <f>('TE BE'!$AB$23+'TE BF'!$AB$23+'TE CVA'!$AB$23)*(1-CUSTOS!$M$38)</f>
        <v>174.29557455563423</v>
      </c>
      <c r="AB211" s="4">
        <f t="shared" si="16"/>
        <v>0</v>
      </c>
      <c r="AC211" s="4">
        <f>(L211-M211)*(W211+X211)+($W$158+$X$158-$W$211-$X$211)*(L211)</f>
        <v>11116.818360000012</v>
      </c>
      <c r="AD211" s="4">
        <f t="shared" si="17"/>
        <v>0</v>
      </c>
      <c r="AE211" s="4">
        <f ca="1">(L211-M211)*(Z211+AA211)+($Z$158+$AA$158-$Z$211-$AA$211)*(L211)</f>
        <v>5447.8554787671283</v>
      </c>
      <c r="AF211" s="3" t="s">
        <v>610</v>
      </c>
    </row>
    <row r="212" spans="1:32" ht="11.25" customHeight="1" x14ac:dyDescent="0.25">
      <c r="A212" s="3" t="s">
        <v>21</v>
      </c>
      <c r="B212" s="3" t="s">
        <v>40</v>
      </c>
      <c r="C212" s="3" t="s">
        <v>23</v>
      </c>
      <c r="D212" s="3" t="s">
        <v>41</v>
      </c>
      <c r="E212" s="3" t="s">
        <v>50</v>
      </c>
      <c r="F212" s="3" t="s">
        <v>51</v>
      </c>
      <c r="G212" s="3" t="s">
        <v>25</v>
      </c>
      <c r="H212" s="3" t="s">
        <v>25</v>
      </c>
      <c r="I212" s="6">
        <v>44501</v>
      </c>
      <c r="J212" s="4">
        <v>0</v>
      </c>
      <c r="K212" s="4">
        <v>0</v>
      </c>
      <c r="L212" s="4">
        <v>36.270000000000003</v>
      </c>
      <c r="M212" s="4">
        <v>36.270000000000003</v>
      </c>
      <c r="N212" s="4">
        <v>36.270000000000003</v>
      </c>
      <c r="O212" s="4">
        <v>36.270000000000003</v>
      </c>
      <c r="P212" s="4">
        <v>0</v>
      </c>
      <c r="Q212" s="3" t="s">
        <v>26</v>
      </c>
      <c r="R212" s="3">
        <v>0</v>
      </c>
      <c r="S212" s="3">
        <v>0</v>
      </c>
      <c r="T212" s="3">
        <v>20</v>
      </c>
      <c r="U212" s="3">
        <v>52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323.62</v>
      </c>
      <c r="X212" s="4">
        <f>IF(ISERROR(VLOOKUP($U$212,'TAR FIN'!$A$1:$O$85,15,0)),0,VLOOKUP($U$212,'TAR FIN'!$A$1:$O$85,15,0))</f>
        <v>235.76</v>
      </c>
      <c r="Y212" s="4"/>
      <c r="Z212" s="4">
        <f ca="1">('TUSD BE'!$AM$33+'TUSD BF'!$AM$33+'TUSD CVA'!$AM$33)*(1-CUSTOS!$M$38)</f>
        <v>411.34661537566791</v>
      </c>
      <c r="AA212" s="4">
        <f>('TE BE'!$AB$23+'TE BF'!$AB$23+'TE CVA'!$AB$23)*(1-CUSTOS!$M$38)</f>
        <v>174.29557455563423</v>
      </c>
      <c r="AB212" s="4">
        <f t="shared" si="16"/>
        <v>0</v>
      </c>
      <c r="AC212" s="4">
        <f>(L212-M212)*(W212+X212)+($W$158+$X$158-$W$212-$X$212)*(L212)</f>
        <v>2766.6756000000032</v>
      </c>
      <c r="AD212" s="4">
        <f t="shared" si="17"/>
        <v>0</v>
      </c>
      <c r="AE212" s="4">
        <f ca="1">(L212-M212)*(Z212+AA212)+($Z$158+$AA$158-$Z$212-$AA$212)*(L212)</f>
        <v>1355.8239720515983</v>
      </c>
      <c r="AF212" s="3" t="s">
        <v>610</v>
      </c>
    </row>
    <row r="213" spans="1:32" ht="11.25" customHeight="1" x14ac:dyDescent="0.25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50</v>
      </c>
      <c r="F213" s="3" t="s">
        <v>51</v>
      </c>
      <c r="G213" s="3" t="s">
        <v>25</v>
      </c>
      <c r="H213" s="3" t="s">
        <v>25</v>
      </c>
      <c r="I213" s="6">
        <v>44531</v>
      </c>
      <c r="J213" s="4">
        <v>0</v>
      </c>
      <c r="K213" s="4">
        <v>0</v>
      </c>
      <c r="L213" s="4">
        <v>29.285</v>
      </c>
      <c r="M213" s="4">
        <v>29.285</v>
      </c>
      <c r="N213" s="4">
        <v>29.285</v>
      </c>
      <c r="O213" s="4">
        <v>29.285</v>
      </c>
      <c r="P213" s="4">
        <v>0</v>
      </c>
      <c r="Q213" s="3" t="s">
        <v>26</v>
      </c>
      <c r="R213" s="3">
        <v>0</v>
      </c>
      <c r="S213" s="3">
        <v>0</v>
      </c>
      <c r="T213" s="3">
        <v>20</v>
      </c>
      <c r="U213" s="3">
        <v>52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323.62</v>
      </c>
      <c r="X213" s="4">
        <f>IF(ISERROR(VLOOKUP($U$213,'TAR FIN'!$A$1:$O$85,15,0)),0,VLOOKUP($U$213,'TAR FIN'!$A$1:$O$85,15,0))</f>
        <v>235.76</v>
      </c>
      <c r="Y213" s="4"/>
      <c r="Z213" s="4">
        <f ca="1">('TUSD BE'!$AM$33+'TUSD BF'!$AM$33+'TUSD CVA'!$AM$33)*(1-CUSTOS!$M$38)</f>
        <v>411.34661537566791</v>
      </c>
      <c r="AA213" s="4">
        <f>('TE BE'!$AB$23+'TE BF'!$AB$23+'TE CVA'!$AB$23)*(1-CUSTOS!$M$38)</f>
        <v>174.29557455563423</v>
      </c>
      <c r="AB213" s="4">
        <f t="shared" si="16"/>
        <v>0</v>
      </c>
      <c r="AC213" s="4">
        <f>(L213-M213)*(W213+X213)+($W$158+$X$158-$W$213-$X$213)*(L213)</f>
        <v>2233.8598000000025</v>
      </c>
      <c r="AD213" s="4">
        <f t="shared" si="17"/>
        <v>0</v>
      </c>
      <c r="AE213" s="4">
        <f ca="1">(L213-M213)*(Z213+AA213)+($Z$158+$AA$158-$Z$213-$AA$213)*(L213)</f>
        <v>1094.7147786471203</v>
      </c>
      <c r="AF213" s="3" t="s">
        <v>610</v>
      </c>
    </row>
    <row r="214" spans="1:32" ht="11.25" customHeight="1" x14ac:dyDescent="0.25">
      <c r="A214" s="3" t="s">
        <v>21</v>
      </c>
      <c r="B214" s="3" t="s">
        <v>40</v>
      </c>
      <c r="C214" s="3" t="s">
        <v>23</v>
      </c>
      <c r="D214" s="3" t="s">
        <v>41</v>
      </c>
      <c r="E214" s="3" t="s">
        <v>50</v>
      </c>
      <c r="F214" s="3" t="s">
        <v>51</v>
      </c>
      <c r="G214" s="3" t="s">
        <v>25</v>
      </c>
      <c r="H214" s="3" t="s">
        <v>25</v>
      </c>
      <c r="I214" s="6">
        <v>44562</v>
      </c>
      <c r="J214" s="4">
        <v>0</v>
      </c>
      <c r="K214" s="4">
        <v>0</v>
      </c>
      <c r="L214" s="4">
        <v>12.792</v>
      </c>
      <c r="M214" s="4">
        <v>12.792</v>
      </c>
      <c r="N214" s="4">
        <v>12.792</v>
      </c>
      <c r="O214" s="4">
        <v>12.792</v>
      </c>
      <c r="P214" s="4">
        <v>0</v>
      </c>
      <c r="Q214" s="3" t="s">
        <v>26</v>
      </c>
      <c r="R214" s="3">
        <v>0</v>
      </c>
      <c r="S214" s="3">
        <v>0</v>
      </c>
      <c r="T214" s="3">
        <v>20</v>
      </c>
      <c r="U214" s="3">
        <v>52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323.62</v>
      </c>
      <c r="X214" s="4">
        <f>IF(ISERROR(VLOOKUP($U$214,'TAR FIN'!$A$1:$O$85,15,0)),0,VLOOKUP($U$214,'TAR FIN'!$A$1:$O$85,15,0))</f>
        <v>235.76</v>
      </c>
      <c r="Y214" s="4"/>
      <c r="Z214" s="4">
        <f ca="1">('TUSD BE'!$AM$33+'TUSD BF'!$AM$33+'TUSD CVA'!$AM$33)*(1-CUSTOS!$M$38)</f>
        <v>411.34661537566791</v>
      </c>
      <c r="AA214" s="4">
        <f>('TE BE'!$AB$23+'TE BF'!$AB$23+'TE CVA'!$AB$23)*(1-CUSTOS!$M$38)</f>
        <v>174.29557455563423</v>
      </c>
      <c r="AB214" s="4">
        <f t="shared" si="16"/>
        <v>0</v>
      </c>
      <c r="AC214" s="4">
        <f>(L214-M214)*(W214+X214)+($W$158+$X$158-$W$214-$X$214)*(L214)</f>
        <v>975.77376000000106</v>
      </c>
      <c r="AD214" s="4">
        <f t="shared" si="17"/>
        <v>0</v>
      </c>
      <c r="AE214" s="4">
        <f ca="1">(L214-M214)*(Z214+AA214)+($Z$158+$AA$158-$Z$214-$AA$214)*(L214)</f>
        <v>478.18307831497219</v>
      </c>
      <c r="AF214" s="3" t="s">
        <v>610</v>
      </c>
    </row>
    <row r="215" spans="1:32" ht="11.25" customHeight="1" x14ac:dyDescent="0.25">
      <c r="A215" s="3" t="s">
        <v>21</v>
      </c>
      <c r="B215" s="3" t="s">
        <v>40</v>
      </c>
      <c r="C215" s="3" t="s">
        <v>23</v>
      </c>
      <c r="D215" s="3" t="s">
        <v>41</v>
      </c>
      <c r="E215" s="3" t="s">
        <v>50</v>
      </c>
      <c r="F215" s="3" t="s">
        <v>51</v>
      </c>
      <c r="G215" s="3" t="s">
        <v>25</v>
      </c>
      <c r="H215" s="3" t="s">
        <v>25</v>
      </c>
      <c r="I215" s="6">
        <v>44593</v>
      </c>
      <c r="J215" s="4">
        <v>0</v>
      </c>
      <c r="K215" s="4">
        <v>0</v>
      </c>
      <c r="L215" s="4">
        <v>7.1849999999999996</v>
      </c>
      <c r="M215" s="4">
        <v>7.1849999999999996</v>
      </c>
      <c r="N215" s="4">
        <v>7.1849999999999996</v>
      </c>
      <c r="O215" s="4">
        <v>7.1849999999999996</v>
      </c>
      <c r="P215" s="4">
        <v>0</v>
      </c>
      <c r="Q215" s="3" t="s">
        <v>26</v>
      </c>
      <c r="R215" s="3">
        <v>0</v>
      </c>
      <c r="S215" s="3">
        <v>0</v>
      </c>
      <c r="T215" s="3">
        <v>20</v>
      </c>
      <c r="U215" s="3">
        <v>52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323.62</v>
      </c>
      <c r="X215" s="4">
        <f>IF(ISERROR(VLOOKUP($U$215,'TAR FIN'!$A$1:$O$85,15,0)),0,VLOOKUP($U$215,'TAR FIN'!$A$1:$O$85,15,0))</f>
        <v>235.76</v>
      </c>
      <c r="Y215" s="4"/>
      <c r="Z215" s="4">
        <f ca="1">('TUSD BE'!$AM$33+'TUSD BF'!$AM$33+'TUSD CVA'!$AM$33)*(1-CUSTOS!$M$38)</f>
        <v>411.34661537566791</v>
      </c>
      <c r="AA215" s="4">
        <f>('TE BE'!$AB$23+'TE BF'!$AB$23+'TE CVA'!$AB$23)*(1-CUSTOS!$M$38)</f>
        <v>174.29557455563423</v>
      </c>
      <c r="AB215" s="4">
        <f t="shared" si="16"/>
        <v>0</v>
      </c>
      <c r="AC215" s="4">
        <f>(L215-M215)*(W215+X215)+($W$158+$X$158-$W$215-$X$215)*(L215)</f>
        <v>548.07180000000062</v>
      </c>
      <c r="AD215" s="4">
        <f t="shared" si="17"/>
        <v>0</v>
      </c>
      <c r="AE215" s="4">
        <f ca="1">(L215-M215)*(Z215+AA215)+($Z$158+$AA$158-$Z$215-$AA$215)*(L215)</f>
        <v>268.58547668019662</v>
      </c>
      <c r="AF215" s="3" t="s">
        <v>610</v>
      </c>
    </row>
    <row r="216" spans="1:32" ht="11.25" customHeight="1" x14ac:dyDescent="0.25">
      <c r="A216" s="3" t="s">
        <v>21</v>
      </c>
      <c r="B216" s="3" t="s">
        <v>40</v>
      </c>
      <c r="C216" s="3" t="s">
        <v>23</v>
      </c>
      <c r="D216" s="3" t="s">
        <v>41</v>
      </c>
      <c r="E216" s="3" t="s">
        <v>50</v>
      </c>
      <c r="F216" s="3" t="s">
        <v>51</v>
      </c>
      <c r="G216" s="3" t="s">
        <v>25</v>
      </c>
      <c r="H216" s="3" t="s">
        <v>25</v>
      </c>
      <c r="I216" s="6">
        <v>44621</v>
      </c>
      <c r="J216" s="4">
        <v>0</v>
      </c>
      <c r="K216" s="4">
        <v>0</v>
      </c>
      <c r="L216" s="4">
        <v>22.152000000000001</v>
      </c>
      <c r="M216" s="4">
        <v>22.152000000000001</v>
      </c>
      <c r="N216" s="4">
        <v>22.152000000000001</v>
      </c>
      <c r="O216" s="4">
        <v>22.152000000000001</v>
      </c>
      <c r="P216" s="4">
        <v>0</v>
      </c>
      <c r="Q216" s="3" t="s">
        <v>26</v>
      </c>
      <c r="R216" s="3">
        <v>0</v>
      </c>
      <c r="S216" s="3">
        <v>0</v>
      </c>
      <c r="T216" s="3">
        <v>20</v>
      </c>
      <c r="U216" s="3">
        <v>52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323.62</v>
      </c>
      <c r="X216" s="4">
        <f>IF(ISERROR(VLOOKUP($U$216,'TAR FIN'!$A$1:$O$85,15,0)),0,VLOOKUP($U$216,'TAR FIN'!$A$1:$O$85,15,0))</f>
        <v>235.76</v>
      </c>
      <c r="Y216" s="4"/>
      <c r="Z216" s="4">
        <f ca="1">('TUSD BE'!$AM$33+'TUSD BF'!$AM$33+'TUSD CVA'!$AM$33)*(1-CUSTOS!$M$38)</f>
        <v>411.34661537566791</v>
      </c>
      <c r="AA216" s="4">
        <f>('TE BE'!$AB$23+'TE BF'!$AB$23+'TE CVA'!$AB$23)*(1-CUSTOS!$M$38)</f>
        <v>174.29557455563423</v>
      </c>
      <c r="AB216" s="4">
        <f t="shared" si="16"/>
        <v>0</v>
      </c>
      <c r="AC216" s="4">
        <f>(L216-M216)*(W216+X216)+($W$158+$X$158-$W$216-$X$216)*(L216)</f>
        <v>1689.7545600000019</v>
      </c>
      <c r="AD216" s="4">
        <f t="shared" si="17"/>
        <v>0</v>
      </c>
      <c r="AE216" s="4">
        <f ca="1">(L216-M216)*(Z216+AA216)+($Z$158+$AA$158-$Z$216-$AA$216)*(L216)</f>
        <v>828.07313561861042</v>
      </c>
      <c r="AF216" s="3" t="s">
        <v>610</v>
      </c>
    </row>
    <row r="217" spans="1:32" ht="11.25" customHeight="1" x14ac:dyDescent="0.25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50</v>
      </c>
      <c r="F217" s="3" t="s">
        <v>51</v>
      </c>
      <c r="G217" s="3" t="s">
        <v>25</v>
      </c>
      <c r="H217" s="3" t="s">
        <v>25</v>
      </c>
      <c r="I217" s="6">
        <v>44652</v>
      </c>
      <c r="J217" s="4">
        <v>0</v>
      </c>
      <c r="K217" s="4">
        <v>0</v>
      </c>
      <c r="L217" s="4">
        <v>31.698</v>
      </c>
      <c r="M217" s="4">
        <v>31.698</v>
      </c>
      <c r="N217" s="4">
        <v>31.698</v>
      </c>
      <c r="O217" s="4">
        <v>31.698</v>
      </c>
      <c r="P217" s="4">
        <v>0</v>
      </c>
      <c r="Q217" s="3" t="s">
        <v>26</v>
      </c>
      <c r="R217" s="3">
        <v>0</v>
      </c>
      <c r="S217" s="3">
        <v>0</v>
      </c>
      <c r="T217" s="3">
        <v>20</v>
      </c>
      <c r="U217" s="3">
        <v>52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323.62</v>
      </c>
      <c r="X217" s="4">
        <f>IF(ISERROR(VLOOKUP($U$217,'TAR FIN'!$A$1:$O$85,15,0)),0,VLOOKUP($U$217,'TAR FIN'!$A$1:$O$85,15,0))</f>
        <v>235.76</v>
      </c>
      <c r="Y217" s="4"/>
      <c r="Z217" s="4">
        <f ca="1">('TUSD BE'!$AM$33+'TUSD BF'!$AM$33+'TUSD CVA'!$AM$33)*(1-CUSTOS!$M$38)</f>
        <v>411.34661537566791</v>
      </c>
      <c r="AA217" s="4">
        <f>('TE BE'!$AB$23+'TE BF'!$AB$23+'TE CVA'!$AB$23)*(1-CUSTOS!$M$38)</f>
        <v>174.29557455563423</v>
      </c>
      <c r="AB217" s="4">
        <f t="shared" si="16"/>
        <v>0</v>
      </c>
      <c r="AC217" s="4">
        <f>(L217-M217)*(W217+X217)+($W$158+$X$158-$W$217-$X$217)*(L217)</f>
        <v>2417.9234400000028</v>
      </c>
      <c r="AD217" s="4">
        <f t="shared" si="17"/>
        <v>0</v>
      </c>
      <c r="AE217" s="4">
        <f ca="1">(L217-M217)*(Z217+AA217)+($Z$158+$AA$158-$Z$217-$AA$217)*(L217)</f>
        <v>1184.9161363686671</v>
      </c>
      <c r="AF217" s="3" t="s">
        <v>610</v>
      </c>
    </row>
    <row r="218" spans="1:32" ht="11.25" customHeight="1" x14ac:dyDescent="0.25">
      <c r="A218" s="3" t="s">
        <v>21</v>
      </c>
      <c r="B218" s="3" t="s">
        <v>40</v>
      </c>
      <c r="C218" s="3" t="s">
        <v>23</v>
      </c>
      <c r="D218" s="3" t="s">
        <v>41</v>
      </c>
      <c r="E218" s="3" t="s">
        <v>50</v>
      </c>
      <c r="F218" s="3" t="s">
        <v>51</v>
      </c>
      <c r="G218" s="3" t="s">
        <v>25</v>
      </c>
      <c r="H218" s="3" t="s">
        <v>25</v>
      </c>
      <c r="I218" s="6">
        <v>44682</v>
      </c>
      <c r="J218" s="4">
        <v>0</v>
      </c>
      <c r="K218" s="4">
        <v>0</v>
      </c>
      <c r="L218" s="4">
        <v>96.450999999999993</v>
      </c>
      <c r="M218" s="4">
        <v>96.450999999999993</v>
      </c>
      <c r="N218" s="4">
        <v>96.450999999999993</v>
      </c>
      <c r="O218" s="4">
        <v>96.450999999999993</v>
      </c>
      <c r="P218" s="4">
        <v>0</v>
      </c>
      <c r="Q218" s="3" t="s">
        <v>26</v>
      </c>
      <c r="R218" s="3">
        <v>0</v>
      </c>
      <c r="S218" s="3">
        <v>0</v>
      </c>
      <c r="T218" s="3">
        <v>20</v>
      </c>
      <c r="U218" s="3">
        <v>52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323.62</v>
      </c>
      <c r="X218" s="4">
        <f>IF(ISERROR(VLOOKUP($U$218,'TAR FIN'!$A$1:$O$85,15,0)),0,VLOOKUP($U$218,'TAR FIN'!$A$1:$O$85,15,0))</f>
        <v>235.76</v>
      </c>
      <c r="Y218" s="4"/>
      <c r="Z218" s="4">
        <f ca="1">('TUSD BE'!$AM$33+'TUSD BF'!$AM$33+'TUSD CVA'!$AM$33)*(1-CUSTOS!$M$38)</f>
        <v>411.34661537566791</v>
      </c>
      <c r="AA218" s="4">
        <f>('TE BE'!$AB$23+'TE BF'!$AB$23+'TE CVA'!$AB$23)*(1-CUSTOS!$M$38)</f>
        <v>174.29557455563423</v>
      </c>
      <c r="AB218" s="4">
        <f t="shared" si="16"/>
        <v>0</v>
      </c>
      <c r="AC218" s="4">
        <f>(L218-M218)*(W218+X218)+($W$158+$X$158-$W$218-$X$218)*(L218)</f>
        <v>7357.2822800000076</v>
      </c>
      <c r="AD218" s="4">
        <f t="shared" si="17"/>
        <v>0</v>
      </c>
      <c r="AE218" s="4">
        <f ca="1">(L218-M218)*(Z218+AA218)+($Z$158+$AA$158-$Z$218-$AA$218)*(L218)</f>
        <v>3605.4749911317531</v>
      </c>
      <c r="AF218" s="3" t="s">
        <v>610</v>
      </c>
    </row>
    <row r="219" spans="1:32" ht="11.25" customHeight="1" x14ac:dyDescent="0.25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50</v>
      </c>
      <c r="F219" s="3" t="s">
        <v>51</v>
      </c>
      <c r="G219" s="3" t="s">
        <v>25</v>
      </c>
      <c r="H219" s="3" t="s">
        <v>25</v>
      </c>
      <c r="I219" s="6">
        <v>44713</v>
      </c>
      <c r="J219" s="4">
        <v>0</v>
      </c>
      <c r="K219" s="4">
        <v>0</v>
      </c>
      <c r="L219" s="4">
        <v>107.41500000000001</v>
      </c>
      <c r="M219" s="4">
        <v>107.41500000000001</v>
      </c>
      <c r="N219" s="4">
        <v>107.41500000000001</v>
      </c>
      <c r="O219" s="4">
        <v>107.41500000000001</v>
      </c>
      <c r="P219" s="4">
        <v>0</v>
      </c>
      <c r="Q219" s="3" t="s">
        <v>26</v>
      </c>
      <c r="R219" s="3">
        <v>0</v>
      </c>
      <c r="S219" s="3">
        <v>0</v>
      </c>
      <c r="T219" s="3">
        <v>20</v>
      </c>
      <c r="U219" s="3">
        <v>52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323.62</v>
      </c>
      <c r="X219" s="4">
        <f>IF(ISERROR(VLOOKUP($U$219,'TAR FIN'!$A$1:$O$85,15,0)),0,VLOOKUP($U$219,'TAR FIN'!$A$1:$O$85,15,0))</f>
        <v>235.76</v>
      </c>
      <c r="Y219" s="4"/>
      <c r="Z219" s="4">
        <f ca="1">('TUSD BE'!$AM$33+'TUSD BF'!$AM$33+'TUSD CVA'!$AM$33)*(1-CUSTOS!$M$38)</f>
        <v>411.34661537566791</v>
      </c>
      <c r="AA219" s="4">
        <f>('TE BE'!$AB$23+'TE BF'!$AB$23+'TE CVA'!$AB$23)*(1-CUSTOS!$M$38)</f>
        <v>174.29557455563423</v>
      </c>
      <c r="AB219" s="4">
        <f t="shared" si="16"/>
        <v>0</v>
      </c>
      <c r="AC219" s="4">
        <f>(L219-M219)*(W219+X219)+($W$158+$X$158-$W$219-$X$219)*(L219)</f>
        <v>8193.6162000000095</v>
      </c>
      <c r="AD219" s="4">
        <f t="shared" si="17"/>
        <v>0</v>
      </c>
      <c r="AE219" s="4">
        <f ca="1">(L219-M219)*(Z219+AA219)+($Z$158+$AA$158-$Z$219-$AA$219)*(L219)</f>
        <v>4015.3248403066559</v>
      </c>
      <c r="AF219" s="3" t="s">
        <v>610</v>
      </c>
    </row>
    <row r="220" spans="1:32" ht="11.25" customHeight="1" x14ac:dyDescent="0.25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50</v>
      </c>
      <c r="F220" s="3" t="s">
        <v>51</v>
      </c>
      <c r="G220" s="3" t="s">
        <v>25</v>
      </c>
      <c r="H220" s="3" t="s">
        <v>25</v>
      </c>
      <c r="I220" s="6">
        <v>44743</v>
      </c>
      <c r="J220" s="4">
        <v>0</v>
      </c>
      <c r="K220" s="4">
        <v>0</v>
      </c>
      <c r="L220" s="4">
        <v>104.85899999999999</v>
      </c>
      <c r="M220" s="4">
        <v>104.85899999999999</v>
      </c>
      <c r="N220" s="4">
        <v>104.85899999999999</v>
      </c>
      <c r="O220" s="4">
        <v>104.85899999999999</v>
      </c>
      <c r="P220" s="4">
        <v>0</v>
      </c>
      <c r="Q220" s="3" t="s">
        <v>26</v>
      </c>
      <c r="R220" s="3">
        <v>0</v>
      </c>
      <c r="S220" s="3">
        <v>0</v>
      </c>
      <c r="T220" s="3">
        <v>20</v>
      </c>
      <c r="U220" s="3">
        <v>52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323.62</v>
      </c>
      <c r="X220" s="4">
        <f>IF(ISERROR(VLOOKUP($U$220,'TAR FIN'!$A$1:$O$85,15,0)),0,VLOOKUP($U$220,'TAR FIN'!$A$1:$O$85,15,0))</f>
        <v>235.76</v>
      </c>
      <c r="Y220" s="4"/>
      <c r="Z220" s="4">
        <f ca="1">('TUSD BE'!$AM$33+'TUSD BF'!$AM$33+'TUSD CVA'!$AM$33)*(1-CUSTOS!$M$38)</f>
        <v>411.34661537566791</v>
      </c>
      <c r="AA220" s="4">
        <f>('TE BE'!$AB$23+'TE BF'!$AB$23+'TE CVA'!$AB$23)*(1-CUSTOS!$M$38)</f>
        <v>174.29557455563423</v>
      </c>
      <c r="AB220" s="4">
        <f t="shared" si="16"/>
        <v>0</v>
      </c>
      <c r="AC220" s="4">
        <f>(L220-M220)*(W220+X220)+($W$158+$X$158-$W$220-$X$220)*(L220)</f>
        <v>7998.6445200000089</v>
      </c>
      <c r="AD220" s="4">
        <f t="shared" si="17"/>
        <v>0</v>
      </c>
      <c r="AE220" s="4">
        <f ca="1">(L220-M220)*(Z220+AA220)+($Z$158+$AA$158-$Z$220-$AA$220)*(L220)</f>
        <v>3919.7779400429699</v>
      </c>
      <c r="AF220" s="3" t="s">
        <v>610</v>
      </c>
    </row>
    <row r="221" spans="1:32" ht="11.25" customHeight="1" x14ac:dyDescent="0.25">
      <c r="A221" s="3" t="s">
        <v>21</v>
      </c>
      <c r="B221" s="3" t="s">
        <v>40</v>
      </c>
      <c r="C221" s="3" t="s">
        <v>23</v>
      </c>
      <c r="D221" s="3" t="s">
        <v>41</v>
      </c>
      <c r="E221" s="3" t="s">
        <v>50</v>
      </c>
      <c r="F221" s="3" t="s">
        <v>51</v>
      </c>
      <c r="G221" s="3" t="s">
        <v>25</v>
      </c>
      <c r="H221" s="3" t="s">
        <v>25</v>
      </c>
      <c r="I221" s="6">
        <v>44774</v>
      </c>
      <c r="J221" s="4">
        <v>0</v>
      </c>
      <c r="K221" s="4">
        <v>0</v>
      </c>
      <c r="L221" s="4">
        <v>156.339</v>
      </c>
      <c r="M221" s="4">
        <v>156.339</v>
      </c>
      <c r="N221" s="4">
        <v>156.339</v>
      </c>
      <c r="O221" s="4">
        <v>156.339</v>
      </c>
      <c r="P221" s="4">
        <v>0</v>
      </c>
      <c r="Q221" s="3" t="s">
        <v>26</v>
      </c>
      <c r="R221" s="3">
        <v>0</v>
      </c>
      <c r="S221" s="3">
        <v>0</v>
      </c>
      <c r="T221" s="3">
        <v>20</v>
      </c>
      <c r="U221" s="3">
        <v>52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323.62</v>
      </c>
      <c r="X221" s="4">
        <f>IF(ISERROR(VLOOKUP($U$221,'TAR FIN'!$A$1:$O$85,15,0)),0,VLOOKUP($U$221,'TAR FIN'!$A$1:$O$85,15,0))</f>
        <v>235.76</v>
      </c>
      <c r="Y221" s="4"/>
      <c r="Z221" s="4">
        <f ca="1">('TUSD BE'!$AM$33+'TUSD BF'!$AM$33+'TUSD CVA'!$AM$33)*(1-CUSTOS!$M$38)</f>
        <v>411.34661537566791</v>
      </c>
      <c r="AA221" s="4">
        <f>('TE BE'!$AB$23+'TE BF'!$AB$23+'TE CVA'!$AB$23)*(1-CUSTOS!$M$38)</f>
        <v>174.29557455563423</v>
      </c>
      <c r="AB221" s="4">
        <f t="shared" si="16"/>
        <v>0</v>
      </c>
      <c r="AC221" s="4">
        <f>(L221-M221)*(W221+X221)+($W$158+$X$158-$W$221-$X$221)*(L221)</f>
        <v>11925.538920000014</v>
      </c>
      <c r="AD221" s="4">
        <f t="shared" si="17"/>
        <v>0</v>
      </c>
      <c r="AE221" s="4">
        <f ca="1">(L221-M221)*(Z221+AA221)+($Z$158+$AA$158-$Z$221-$AA$221)*(L221)</f>
        <v>5844.1732552129797</v>
      </c>
      <c r="AF221" s="3" t="s">
        <v>610</v>
      </c>
    </row>
    <row r="222" spans="1:32" ht="11.25" customHeight="1" x14ac:dyDescent="0.25">
      <c r="A222" s="3" t="s">
        <v>21</v>
      </c>
      <c r="B222" s="3" t="s">
        <v>40</v>
      </c>
      <c r="C222" s="3" t="s">
        <v>23</v>
      </c>
      <c r="D222" s="3" t="s">
        <v>41</v>
      </c>
      <c r="E222" s="3" t="s">
        <v>50</v>
      </c>
      <c r="F222" s="3" t="s">
        <v>52</v>
      </c>
      <c r="G222" s="3" t="s">
        <v>25</v>
      </c>
      <c r="H222" s="3" t="s">
        <v>25</v>
      </c>
      <c r="I222" s="6">
        <v>44440</v>
      </c>
      <c r="J222" s="4">
        <v>0</v>
      </c>
      <c r="K222" s="4">
        <v>0</v>
      </c>
      <c r="L222" s="4">
        <v>87.742000000000004</v>
      </c>
      <c r="M222" s="4">
        <v>35.096800000000002</v>
      </c>
      <c r="N222" s="4">
        <v>87.742000000000004</v>
      </c>
      <c r="O222" s="4">
        <v>35.096800000000002</v>
      </c>
      <c r="P222" s="4">
        <v>0</v>
      </c>
      <c r="Q222" s="3" t="s">
        <v>26</v>
      </c>
      <c r="R222" s="3">
        <v>0</v>
      </c>
      <c r="S222" s="3">
        <v>0</v>
      </c>
      <c r="T222" s="3">
        <v>20</v>
      </c>
      <c r="U222" s="3">
        <v>52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323.62</v>
      </c>
      <c r="X222" s="4">
        <f>IF(ISERROR(VLOOKUP($U$222,'TAR FIN'!$A$1:$O$85,15,0)),0,VLOOKUP($U$222,'TAR FIN'!$A$1:$O$85,15,0))</f>
        <v>235.76</v>
      </c>
      <c r="Y222" s="4"/>
      <c r="Z222" s="4">
        <f ca="1">('TUSD BE'!$AM$33+'TUSD BF'!$AM$33+'TUSD CVA'!$AM$33)*(1-CUSTOS!$M$38)</f>
        <v>411.34661537566791</v>
      </c>
      <c r="AA222" s="4">
        <f>('TE BE'!$AB$23+'TE BF'!$AB$23+'TE CVA'!$AB$23)*(1-CUSTOS!$M$38)</f>
        <v>174.29557455563423</v>
      </c>
      <c r="AB222" s="4">
        <f t="shared" si="16"/>
        <v>0</v>
      </c>
      <c r="AC222" s="4">
        <f>(L222-M222)*(W222+X222)+($W$158+$X$158-$W$222-$X$222)*(L222)</f>
        <v>36141.63173600001</v>
      </c>
      <c r="AD222" s="4">
        <f t="shared" si="17"/>
        <v>0</v>
      </c>
      <c r="AE222" s="4">
        <f ca="1">(L222-M222)*(Z222+AA222)+($Z$158+$AA$158-$Z$222-$AA$222)*(L222)</f>
        <v>34111.17045326197</v>
      </c>
      <c r="AF222" s="3" t="s">
        <v>611</v>
      </c>
    </row>
    <row r="223" spans="1:32" ht="11.25" customHeight="1" x14ac:dyDescent="0.25">
      <c r="A223" s="3" t="s">
        <v>21</v>
      </c>
      <c r="B223" s="3" t="s">
        <v>40</v>
      </c>
      <c r="C223" s="3" t="s">
        <v>23</v>
      </c>
      <c r="D223" s="3" t="s">
        <v>41</v>
      </c>
      <c r="E223" s="3" t="s">
        <v>50</v>
      </c>
      <c r="F223" s="3" t="s">
        <v>52</v>
      </c>
      <c r="G223" s="3" t="s">
        <v>25</v>
      </c>
      <c r="H223" s="3" t="s">
        <v>25</v>
      </c>
      <c r="I223" s="6">
        <v>44470</v>
      </c>
      <c r="J223" s="4">
        <v>0</v>
      </c>
      <c r="K223" s="4">
        <v>0</v>
      </c>
      <c r="L223" s="4">
        <v>112.003</v>
      </c>
      <c r="M223" s="4">
        <v>44.801200000000001</v>
      </c>
      <c r="N223" s="4">
        <v>112.003</v>
      </c>
      <c r="O223" s="4">
        <v>44.801200000000001</v>
      </c>
      <c r="P223" s="4">
        <v>0</v>
      </c>
      <c r="Q223" s="3" t="s">
        <v>26</v>
      </c>
      <c r="R223" s="3">
        <v>0</v>
      </c>
      <c r="S223" s="3">
        <v>0</v>
      </c>
      <c r="T223" s="3">
        <v>20</v>
      </c>
      <c r="U223" s="3">
        <v>52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323.62</v>
      </c>
      <c r="X223" s="4">
        <f>IF(ISERROR(VLOOKUP($U$223,'TAR FIN'!$A$1:$O$85,15,0)),0,VLOOKUP($U$223,'TAR FIN'!$A$1:$O$85,15,0))</f>
        <v>235.76</v>
      </c>
      <c r="Y223" s="4"/>
      <c r="Z223" s="4">
        <f ca="1">('TUSD BE'!$AM$33+'TUSD BF'!$AM$33+'TUSD CVA'!$AM$33)*(1-CUSTOS!$M$38)</f>
        <v>411.34661537566791</v>
      </c>
      <c r="AA223" s="4">
        <f>('TE BE'!$AB$23+'TE BF'!$AB$23+'TE CVA'!$AB$23)*(1-CUSTOS!$M$38)</f>
        <v>174.29557455563423</v>
      </c>
      <c r="AB223" s="4">
        <f t="shared" si="16"/>
        <v>0</v>
      </c>
      <c r="AC223" s="4">
        <f>(L223-M223)*(W223+X223)+($W$158+$X$158-$W$223-$X$223)*(L223)</f>
        <v>46134.931724000009</v>
      </c>
      <c r="AD223" s="4">
        <f t="shared" si="17"/>
        <v>0</v>
      </c>
      <c r="AE223" s="4">
        <f ca="1">(L223-M223)*(Z223+AA223)+($Z$158+$AA$158-$Z$223-$AA$223)*(L223)</f>
        <v>43543.04009797702</v>
      </c>
      <c r="AF223" s="3" t="s">
        <v>611</v>
      </c>
    </row>
    <row r="224" spans="1:32" ht="11.25" customHeight="1" x14ac:dyDescent="0.25">
      <c r="A224" s="3" t="s">
        <v>21</v>
      </c>
      <c r="B224" s="3" t="s">
        <v>40</v>
      </c>
      <c r="C224" s="3" t="s">
        <v>23</v>
      </c>
      <c r="D224" s="3" t="s">
        <v>41</v>
      </c>
      <c r="E224" s="3" t="s">
        <v>50</v>
      </c>
      <c r="F224" s="3" t="s">
        <v>52</v>
      </c>
      <c r="G224" s="3" t="s">
        <v>25</v>
      </c>
      <c r="H224" s="3" t="s">
        <v>25</v>
      </c>
      <c r="I224" s="6">
        <v>44501</v>
      </c>
      <c r="J224" s="4">
        <v>0</v>
      </c>
      <c r="K224" s="4">
        <v>0</v>
      </c>
      <c r="L224" s="4">
        <v>22.62</v>
      </c>
      <c r="M224" s="4">
        <v>9.048</v>
      </c>
      <c r="N224" s="4">
        <v>22.62</v>
      </c>
      <c r="O224" s="4">
        <v>9.048</v>
      </c>
      <c r="P224" s="4">
        <v>0</v>
      </c>
      <c r="Q224" s="3" t="s">
        <v>26</v>
      </c>
      <c r="R224" s="3">
        <v>0</v>
      </c>
      <c r="S224" s="3">
        <v>0</v>
      </c>
      <c r="T224" s="3">
        <v>20</v>
      </c>
      <c r="U224" s="3">
        <v>52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323.62</v>
      </c>
      <c r="X224" s="4">
        <f>IF(ISERROR(VLOOKUP($U$224,'TAR FIN'!$A$1:$O$85,15,0)),0,VLOOKUP($U$224,'TAR FIN'!$A$1:$O$85,15,0))</f>
        <v>235.76</v>
      </c>
      <c r="Y224" s="4"/>
      <c r="Z224" s="4">
        <f ca="1">('TUSD BE'!$AM$33+'TUSD BF'!$AM$33+'TUSD CVA'!$AM$33)*(1-CUSTOS!$M$38)</f>
        <v>411.34661537566791</v>
      </c>
      <c r="AA224" s="4">
        <f>('TE BE'!$AB$23+'TE BF'!$AB$23+'TE CVA'!$AB$23)*(1-CUSTOS!$M$38)</f>
        <v>174.29557455563423</v>
      </c>
      <c r="AB224" s="4">
        <f t="shared" si="16"/>
        <v>0</v>
      </c>
      <c r="AC224" s="4">
        <f>(L224-M224)*(W224+X224)+($W$158+$X$158-$W$224-$X$224)*(L224)</f>
        <v>9317.3589600000032</v>
      </c>
      <c r="AD224" s="4">
        <f t="shared" si="17"/>
        <v>0</v>
      </c>
      <c r="AE224" s="4">
        <f ca="1">(L224-M224)*(Z224+AA224)+($Z$158+$AA$158-$Z$224-$AA$224)*(L224)</f>
        <v>8793.9034402314246</v>
      </c>
      <c r="AF224" s="3" t="s">
        <v>611</v>
      </c>
    </row>
    <row r="225" spans="1:32" ht="11.25" customHeight="1" x14ac:dyDescent="0.25">
      <c r="A225" s="3" t="s">
        <v>21</v>
      </c>
      <c r="B225" s="3" t="s">
        <v>40</v>
      </c>
      <c r="C225" s="3" t="s">
        <v>23</v>
      </c>
      <c r="D225" s="3" t="s">
        <v>41</v>
      </c>
      <c r="E225" s="3" t="s">
        <v>50</v>
      </c>
      <c r="F225" s="3" t="s">
        <v>52</v>
      </c>
      <c r="G225" s="3" t="s">
        <v>25</v>
      </c>
      <c r="H225" s="3" t="s">
        <v>25</v>
      </c>
      <c r="I225" s="6">
        <v>44531</v>
      </c>
      <c r="J225" s="4">
        <v>0</v>
      </c>
      <c r="K225" s="4">
        <v>0</v>
      </c>
      <c r="L225" s="4">
        <v>17.277999999999999</v>
      </c>
      <c r="M225" s="4">
        <v>6.9112</v>
      </c>
      <c r="N225" s="4">
        <v>17.277999999999999</v>
      </c>
      <c r="O225" s="4">
        <v>6.9112</v>
      </c>
      <c r="P225" s="4">
        <v>0</v>
      </c>
      <c r="Q225" s="3" t="s">
        <v>26</v>
      </c>
      <c r="R225" s="3">
        <v>0</v>
      </c>
      <c r="S225" s="3">
        <v>0</v>
      </c>
      <c r="T225" s="3">
        <v>20</v>
      </c>
      <c r="U225" s="3">
        <v>52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323.62</v>
      </c>
      <c r="X225" s="4">
        <f>IF(ISERROR(VLOOKUP($U$225,'TAR FIN'!$A$1:$O$85,15,0)),0,VLOOKUP($U$225,'TAR FIN'!$A$1:$O$85,15,0))</f>
        <v>235.76</v>
      </c>
      <c r="Y225" s="4"/>
      <c r="Z225" s="4">
        <f ca="1">('TUSD BE'!$AM$33+'TUSD BF'!$AM$33+'TUSD CVA'!$AM$33)*(1-CUSTOS!$M$38)</f>
        <v>411.34661537566791</v>
      </c>
      <c r="AA225" s="4">
        <f>('TE BE'!$AB$23+'TE BF'!$AB$23+'TE CVA'!$AB$23)*(1-CUSTOS!$M$38)</f>
        <v>174.29557455563423</v>
      </c>
      <c r="AB225" s="4">
        <f t="shared" si="16"/>
        <v>0</v>
      </c>
      <c r="AC225" s="4">
        <f>(L225-M225)*(W225+X225)+($W$158+$X$158-$W$225-$X$225)*(L225)</f>
        <v>7116.9464240000007</v>
      </c>
      <c r="AD225" s="4">
        <f t="shared" si="17"/>
        <v>0</v>
      </c>
      <c r="AE225" s="4">
        <f ca="1">(L225-M225)*(Z225+AA225)+($Z$158+$AA$158-$Z$225-$AA$225)*(L225)</f>
        <v>6717.1115667691656</v>
      </c>
      <c r="AF225" s="3" t="s">
        <v>611</v>
      </c>
    </row>
    <row r="226" spans="1:32" ht="11.25" customHeight="1" x14ac:dyDescent="0.25">
      <c r="A226" s="3" t="s">
        <v>21</v>
      </c>
      <c r="B226" s="3" t="s">
        <v>40</v>
      </c>
      <c r="C226" s="3" t="s">
        <v>23</v>
      </c>
      <c r="D226" s="3" t="s">
        <v>41</v>
      </c>
      <c r="E226" s="3" t="s">
        <v>50</v>
      </c>
      <c r="F226" s="3" t="s">
        <v>52</v>
      </c>
      <c r="G226" s="3" t="s">
        <v>25</v>
      </c>
      <c r="H226" s="3" t="s">
        <v>25</v>
      </c>
      <c r="I226" s="6">
        <v>44562</v>
      </c>
      <c r="J226" s="4">
        <v>0</v>
      </c>
      <c r="K226" s="4">
        <v>0</v>
      </c>
      <c r="L226" s="4">
        <v>5.5650000000000004</v>
      </c>
      <c r="M226" s="4">
        <v>2.226</v>
      </c>
      <c r="N226" s="4">
        <v>5.5650000000000004</v>
      </c>
      <c r="O226" s="4">
        <v>2.226</v>
      </c>
      <c r="P226" s="4">
        <v>0</v>
      </c>
      <c r="Q226" s="3" t="s">
        <v>26</v>
      </c>
      <c r="R226" s="3">
        <v>0</v>
      </c>
      <c r="S226" s="3">
        <v>0</v>
      </c>
      <c r="T226" s="3">
        <v>20</v>
      </c>
      <c r="U226" s="3">
        <v>52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323.62</v>
      </c>
      <c r="X226" s="4">
        <f>IF(ISERROR(VLOOKUP($U$226,'TAR FIN'!$A$1:$O$85,15,0)),0,VLOOKUP($U$226,'TAR FIN'!$A$1:$O$85,15,0))</f>
        <v>235.76</v>
      </c>
      <c r="Y226" s="4"/>
      <c r="Z226" s="4">
        <f ca="1">('TUSD BE'!$AM$33+'TUSD BF'!$AM$33+'TUSD CVA'!$AM$33)*(1-CUSTOS!$M$38)</f>
        <v>411.34661537566791</v>
      </c>
      <c r="AA226" s="4">
        <f>('TE BE'!$AB$23+'TE BF'!$AB$23+'TE CVA'!$AB$23)*(1-CUSTOS!$M$38)</f>
        <v>174.29557455563423</v>
      </c>
      <c r="AB226" s="4">
        <f t="shared" si="16"/>
        <v>0</v>
      </c>
      <c r="AC226" s="4">
        <f>(L226-M226)*(W226+X226)+($W$158+$X$158-$W$226-$X$226)*(L226)</f>
        <v>2292.2680200000009</v>
      </c>
      <c r="AD226" s="4">
        <f t="shared" si="17"/>
        <v>0</v>
      </c>
      <c r="AE226" s="4">
        <f ca="1">(L226-M226)*(Z226+AA226)+($Z$158+$AA$158-$Z$226-$AA$226)*(L226)</f>
        <v>2163.4868543274929</v>
      </c>
      <c r="AF226" s="3" t="s">
        <v>611</v>
      </c>
    </row>
    <row r="227" spans="1:32" ht="11.25" customHeight="1" x14ac:dyDescent="0.25">
      <c r="A227" s="3" t="s">
        <v>21</v>
      </c>
      <c r="B227" s="3" t="s">
        <v>40</v>
      </c>
      <c r="C227" s="3" t="s">
        <v>23</v>
      </c>
      <c r="D227" s="3" t="s">
        <v>41</v>
      </c>
      <c r="E227" s="3" t="s">
        <v>50</v>
      </c>
      <c r="F227" s="3" t="s">
        <v>52</v>
      </c>
      <c r="G227" s="3" t="s">
        <v>25</v>
      </c>
      <c r="H227" s="3" t="s">
        <v>25</v>
      </c>
      <c r="I227" s="6">
        <v>44593</v>
      </c>
      <c r="J227" s="4">
        <v>0</v>
      </c>
      <c r="K227" s="4">
        <v>0</v>
      </c>
      <c r="L227" s="4">
        <v>4.9180000000000001</v>
      </c>
      <c r="M227" s="4">
        <v>1.9672000000000001</v>
      </c>
      <c r="N227" s="4">
        <v>4.9180000000000001</v>
      </c>
      <c r="O227" s="4">
        <v>1.9672000000000001</v>
      </c>
      <c r="P227" s="4">
        <v>0</v>
      </c>
      <c r="Q227" s="3" t="s">
        <v>26</v>
      </c>
      <c r="R227" s="3">
        <v>0</v>
      </c>
      <c r="S227" s="3">
        <v>0</v>
      </c>
      <c r="T227" s="3">
        <v>20</v>
      </c>
      <c r="U227" s="3">
        <v>52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323.62</v>
      </c>
      <c r="X227" s="4">
        <f>IF(ISERROR(VLOOKUP($U$227,'TAR FIN'!$A$1:$O$85,15,0)),0,VLOOKUP($U$227,'TAR FIN'!$A$1:$O$85,15,0))</f>
        <v>235.76</v>
      </c>
      <c r="Y227" s="4"/>
      <c r="Z227" s="4">
        <f ca="1">('TUSD BE'!$AM$33+'TUSD BF'!$AM$33+'TUSD CVA'!$AM$33)*(1-CUSTOS!$M$38)</f>
        <v>411.34661537566791</v>
      </c>
      <c r="AA227" s="4">
        <f>('TE BE'!$AB$23+'TE BF'!$AB$23+'TE CVA'!$AB$23)*(1-CUSTOS!$M$38)</f>
        <v>174.29557455563423</v>
      </c>
      <c r="AB227" s="4">
        <f t="shared" si="16"/>
        <v>0</v>
      </c>
      <c r="AC227" s="4">
        <f>(L227-M227)*(W227+X227)+($W$158+$X$158-$W$227-$X$227)*(L227)</f>
        <v>2025.7635440000004</v>
      </c>
      <c r="AD227" s="4">
        <f t="shared" si="17"/>
        <v>0</v>
      </c>
      <c r="AE227" s="4">
        <f ca="1">(L227-M227)*(Z227+AA227)+($Z$158+$AA$158-$Z$227-$AA$227)*(L227)</f>
        <v>1911.9547797992109</v>
      </c>
      <c r="AF227" s="3" t="s">
        <v>611</v>
      </c>
    </row>
    <row r="228" spans="1:32" ht="11.25" customHeight="1" x14ac:dyDescent="0.25">
      <c r="A228" s="3" t="s">
        <v>21</v>
      </c>
      <c r="B228" s="3" t="s">
        <v>40</v>
      </c>
      <c r="C228" s="3" t="s">
        <v>23</v>
      </c>
      <c r="D228" s="3" t="s">
        <v>41</v>
      </c>
      <c r="E228" s="3" t="s">
        <v>50</v>
      </c>
      <c r="F228" s="3" t="s">
        <v>52</v>
      </c>
      <c r="G228" s="3" t="s">
        <v>25</v>
      </c>
      <c r="H228" s="3" t="s">
        <v>25</v>
      </c>
      <c r="I228" s="6">
        <v>44621</v>
      </c>
      <c r="J228" s="4">
        <v>0</v>
      </c>
      <c r="K228" s="4">
        <v>0</v>
      </c>
      <c r="L228" s="4">
        <v>12.819000000000001</v>
      </c>
      <c r="M228" s="4">
        <v>5.1276000000000002</v>
      </c>
      <c r="N228" s="4">
        <v>12.819000000000001</v>
      </c>
      <c r="O228" s="4">
        <v>5.1276000000000002</v>
      </c>
      <c r="P228" s="4">
        <v>0</v>
      </c>
      <c r="Q228" s="3" t="s">
        <v>26</v>
      </c>
      <c r="R228" s="3">
        <v>0</v>
      </c>
      <c r="S228" s="3">
        <v>0</v>
      </c>
      <c r="T228" s="3">
        <v>20</v>
      </c>
      <c r="U228" s="3">
        <v>52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323.62</v>
      </c>
      <c r="X228" s="4">
        <f>IF(ISERROR(VLOOKUP($U$228,'TAR FIN'!$A$1:$O$85,15,0)),0,VLOOKUP($U$228,'TAR FIN'!$A$1:$O$85,15,0))</f>
        <v>235.76</v>
      </c>
      <c r="Y228" s="4"/>
      <c r="Z228" s="4">
        <f ca="1">('TUSD BE'!$AM$33+'TUSD BF'!$AM$33+'TUSD CVA'!$AM$33)*(1-CUSTOS!$M$38)</f>
        <v>411.34661537566791</v>
      </c>
      <c r="AA228" s="4">
        <f>('TE BE'!$AB$23+'TE BF'!$AB$23+'TE CVA'!$AB$23)*(1-CUSTOS!$M$38)</f>
        <v>174.29557455563423</v>
      </c>
      <c r="AB228" s="4">
        <f t="shared" si="16"/>
        <v>0</v>
      </c>
      <c r="AC228" s="4">
        <f>(L228-M228)*(W228+X228)+($W$158+$X$158-$W$228-$X$228)*(L228)</f>
        <v>5280.248652000002</v>
      </c>
      <c r="AD228" s="4">
        <f t="shared" si="17"/>
        <v>0</v>
      </c>
      <c r="AE228" s="4">
        <f ca="1">(L228-M228)*(Z228+AA228)+($Z$158+$AA$158-$Z$228-$AA$228)*(L228)</f>
        <v>4983.6007161948119</v>
      </c>
      <c r="AF228" s="3" t="s">
        <v>611</v>
      </c>
    </row>
    <row r="229" spans="1:32" ht="11.25" customHeight="1" x14ac:dyDescent="0.25">
      <c r="A229" s="3" t="s">
        <v>21</v>
      </c>
      <c r="B229" s="3" t="s">
        <v>40</v>
      </c>
      <c r="C229" s="3" t="s">
        <v>23</v>
      </c>
      <c r="D229" s="3" t="s">
        <v>41</v>
      </c>
      <c r="E229" s="3" t="s">
        <v>50</v>
      </c>
      <c r="F229" s="3" t="s">
        <v>52</v>
      </c>
      <c r="G229" s="3" t="s">
        <v>25</v>
      </c>
      <c r="H229" s="3" t="s">
        <v>25</v>
      </c>
      <c r="I229" s="6">
        <v>44652</v>
      </c>
      <c r="J229" s="4">
        <v>0</v>
      </c>
      <c r="K229" s="4">
        <v>0</v>
      </c>
      <c r="L229" s="4">
        <v>23.279</v>
      </c>
      <c r="M229" s="4">
        <v>9.3116000000000003</v>
      </c>
      <c r="N229" s="4">
        <v>23.279</v>
      </c>
      <c r="O229" s="4">
        <v>9.3116000000000003</v>
      </c>
      <c r="P229" s="4">
        <v>0</v>
      </c>
      <c r="Q229" s="3" t="s">
        <v>26</v>
      </c>
      <c r="R229" s="3">
        <v>0</v>
      </c>
      <c r="S229" s="3">
        <v>0</v>
      </c>
      <c r="T229" s="3">
        <v>20</v>
      </c>
      <c r="U229" s="3">
        <v>52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323.62</v>
      </c>
      <c r="X229" s="4">
        <f>IF(ISERROR(VLOOKUP($U$229,'TAR FIN'!$A$1:$O$85,15,0)),0,VLOOKUP($U$229,'TAR FIN'!$A$1:$O$85,15,0))</f>
        <v>235.76</v>
      </c>
      <c r="Y229" s="4"/>
      <c r="Z229" s="4">
        <f ca="1">('TUSD BE'!$AM$33+'TUSD BF'!$AM$33+'TUSD CVA'!$AM$33)*(1-CUSTOS!$M$38)</f>
        <v>411.34661537566791</v>
      </c>
      <c r="AA229" s="4">
        <f>('TE BE'!$AB$23+'TE BF'!$AB$23+'TE CVA'!$AB$23)*(1-CUSTOS!$M$38)</f>
        <v>174.29557455563423</v>
      </c>
      <c r="AB229" s="4">
        <f t="shared" si="16"/>
        <v>0</v>
      </c>
      <c r="AC229" s="4">
        <f>(L229-M229)*(W229+X229)+($W$158+$X$158-$W$229-$X$229)*(L229)</f>
        <v>9588.8063320000019</v>
      </c>
      <c r="AD229" s="4">
        <f t="shared" si="17"/>
        <v>0</v>
      </c>
      <c r="AE229" s="4">
        <f ca="1">(L229-M229)*(Z229+AA229)+($Z$158+$AA$158-$Z$229-$AA$229)*(L229)</f>
        <v>9050.1007155237548</v>
      </c>
      <c r="AF229" s="3" t="s">
        <v>611</v>
      </c>
    </row>
    <row r="230" spans="1:32" ht="11.25" customHeight="1" x14ac:dyDescent="0.25">
      <c r="A230" s="3" t="s">
        <v>21</v>
      </c>
      <c r="B230" s="3" t="s">
        <v>40</v>
      </c>
      <c r="C230" s="3" t="s">
        <v>23</v>
      </c>
      <c r="D230" s="3" t="s">
        <v>41</v>
      </c>
      <c r="E230" s="3" t="s">
        <v>50</v>
      </c>
      <c r="F230" s="3" t="s">
        <v>52</v>
      </c>
      <c r="G230" s="3" t="s">
        <v>25</v>
      </c>
      <c r="H230" s="3" t="s">
        <v>25</v>
      </c>
      <c r="I230" s="6">
        <v>44682</v>
      </c>
      <c r="J230" s="4">
        <v>0</v>
      </c>
      <c r="K230" s="4">
        <v>0</v>
      </c>
      <c r="L230" s="4">
        <v>71.798000000000002</v>
      </c>
      <c r="M230" s="4">
        <v>28.719200000000001</v>
      </c>
      <c r="N230" s="4">
        <v>71.798000000000002</v>
      </c>
      <c r="O230" s="4">
        <v>28.719200000000001</v>
      </c>
      <c r="P230" s="4">
        <v>0</v>
      </c>
      <c r="Q230" s="3" t="s">
        <v>26</v>
      </c>
      <c r="R230" s="3">
        <v>0</v>
      </c>
      <c r="S230" s="3">
        <v>0</v>
      </c>
      <c r="T230" s="3">
        <v>20</v>
      </c>
      <c r="U230" s="3">
        <v>52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323.62</v>
      </c>
      <c r="X230" s="4">
        <f>IF(ISERROR(VLOOKUP($U$230,'TAR FIN'!$A$1:$O$85,15,0)),0,VLOOKUP($U$230,'TAR FIN'!$A$1:$O$85,15,0))</f>
        <v>235.76</v>
      </c>
      <c r="Y230" s="4"/>
      <c r="Z230" s="4">
        <f ca="1">('TUSD BE'!$AM$33+'TUSD BF'!$AM$33+'TUSD CVA'!$AM$33)*(1-CUSTOS!$M$38)</f>
        <v>411.34661537566791</v>
      </c>
      <c r="AA230" s="4">
        <f>('TE BE'!$AB$23+'TE BF'!$AB$23+'TE CVA'!$AB$23)*(1-CUSTOS!$M$38)</f>
        <v>174.29557455563423</v>
      </c>
      <c r="AB230" s="4">
        <f t="shared" si="16"/>
        <v>0</v>
      </c>
      <c r="AC230" s="4">
        <f>(L230-M230)*(W230+X230)+($W$158+$X$158-$W$230-$X$230)*(L230)</f>
        <v>29574.170584000007</v>
      </c>
      <c r="AD230" s="4">
        <f t="shared" si="17"/>
        <v>0</v>
      </c>
      <c r="AE230" s="4">
        <f ca="1">(L230-M230)*(Z230+AA230)+($Z$158+$AA$158-$Z$230-$AA$230)*(L230)</f>
        <v>27912.673704762859</v>
      </c>
      <c r="AF230" s="3" t="s">
        <v>611</v>
      </c>
    </row>
    <row r="231" spans="1:32" ht="11.25" customHeight="1" x14ac:dyDescent="0.25">
      <c r="A231" s="3" t="s">
        <v>21</v>
      </c>
      <c r="B231" s="3" t="s">
        <v>40</v>
      </c>
      <c r="C231" s="3" t="s">
        <v>23</v>
      </c>
      <c r="D231" s="3" t="s">
        <v>41</v>
      </c>
      <c r="E231" s="3" t="s">
        <v>50</v>
      </c>
      <c r="F231" s="3" t="s">
        <v>52</v>
      </c>
      <c r="G231" s="3" t="s">
        <v>25</v>
      </c>
      <c r="H231" s="3" t="s">
        <v>25</v>
      </c>
      <c r="I231" s="6">
        <v>44713</v>
      </c>
      <c r="J231" s="4">
        <v>0</v>
      </c>
      <c r="K231" s="4">
        <v>0</v>
      </c>
      <c r="L231" s="4">
        <v>83.411000000000001</v>
      </c>
      <c r="M231" s="4">
        <v>33.364400000000003</v>
      </c>
      <c r="N231" s="4">
        <v>83.411000000000001</v>
      </c>
      <c r="O231" s="4">
        <v>33.364400000000003</v>
      </c>
      <c r="P231" s="4">
        <v>0</v>
      </c>
      <c r="Q231" s="3" t="s">
        <v>26</v>
      </c>
      <c r="R231" s="3">
        <v>0</v>
      </c>
      <c r="S231" s="3">
        <v>0</v>
      </c>
      <c r="T231" s="3">
        <v>20</v>
      </c>
      <c r="U231" s="3">
        <v>52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323.62</v>
      </c>
      <c r="X231" s="4">
        <f>IF(ISERROR(VLOOKUP($U$231,'TAR FIN'!$A$1:$O$85,15,0)),0,VLOOKUP($U$231,'TAR FIN'!$A$1:$O$85,15,0))</f>
        <v>235.76</v>
      </c>
      <c r="Y231" s="4"/>
      <c r="Z231" s="4">
        <f ca="1">('TUSD BE'!$AM$33+'TUSD BF'!$AM$33+'TUSD CVA'!$AM$33)*(1-CUSTOS!$M$38)</f>
        <v>411.34661537566791</v>
      </c>
      <c r="AA231" s="4">
        <f>('TE BE'!$AB$23+'TE BF'!$AB$23+'TE CVA'!$AB$23)*(1-CUSTOS!$M$38)</f>
        <v>174.29557455563423</v>
      </c>
      <c r="AB231" s="4">
        <f t="shared" si="16"/>
        <v>0</v>
      </c>
      <c r="AC231" s="4">
        <f>(L231-M231)*(W231+X231)+($W$158+$X$158-$W$231-$X$231)*(L231)</f>
        <v>34357.658188000009</v>
      </c>
      <c r="AD231" s="4">
        <f t="shared" si="17"/>
        <v>0</v>
      </c>
      <c r="AE231" s="4">
        <f ca="1">(L231-M231)*(Z231+AA231)+($Z$158+$AA$158-$Z$231-$AA$231)*(L231)</f>
        <v>32427.421744170795</v>
      </c>
      <c r="AF231" s="3" t="s">
        <v>611</v>
      </c>
    </row>
    <row r="232" spans="1:32" ht="11.25" customHeight="1" x14ac:dyDescent="0.25">
      <c r="A232" s="3" t="s">
        <v>21</v>
      </c>
      <c r="B232" s="3" t="s">
        <v>40</v>
      </c>
      <c r="C232" s="3" t="s">
        <v>23</v>
      </c>
      <c r="D232" s="3" t="s">
        <v>41</v>
      </c>
      <c r="E232" s="3" t="s">
        <v>50</v>
      </c>
      <c r="F232" s="3" t="s">
        <v>52</v>
      </c>
      <c r="G232" s="3" t="s">
        <v>25</v>
      </c>
      <c r="H232" s="3" t="s">
        <v>25</v>
      </c>
      <c r="I232" s="6">
        <v>44743</v>
      </c>
      <c r="J232" s="4">
        <v>0</v>
      </c>
      <c r="K232" s="4">
        <v>0</v>
      </c>
      <c r="L232" s="4">
        <v>91.402000000000001</v>
      </c>
      <c r="M232" s="4">
        <v>36.5608</v>
      </c>
      <c r="N232" s="4">
        <v>91.402000000000001</v>
      </c>
      <c r="O232" s="4">
        <v>36.5608</v>
      </c>
      <c r="P232" s="4">
        <v>0</v>
      </c>
      <c r="Q232" s="3" t="s">
        <v>26</v>
      </c>
      <c r="R232" s="3">
        <v>0</v>
      </c>
      <c r="S232" s="3">
        <v>0</v>
      </c>
      <c r="T232" s="3">
        <v>20</v>
      </c>
      <c r="U232" s="3">
        <v>52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323.62</v>
      </c>
      <c r="X232" s="4">
        <f>IF(ISERROR(VLOOKUP($U$232,'TAR FIN'!$A$1:$O$85,15,0)),0,VLOOKUP($U$232,'TAR FIN'!$A$1:$O$85,15,0))</f>
        <v>235.76</v>
      </c>
      <c r="Y232" s="4"/>
      <c r="Z232" s="4">
        <f ca="1">('TUSD BE'!$AM$33+'TUSD BF'!$AM$33+'TUSD CVA'!$AM$33)*(1-CUSTOS!$M$38)</f>
        <v>411.34661537566791</v>
      </c>
      <c r="AA232" s="4">
        <f>('TE BE'!$AB$23+'TE BF'!$AB$23+'TE CVA'!$AB$23)*(1-CUSTOS!$M$38)</f>
        <v>174.29557455563423</v>
      </c>
      <c r="AB232" s="4">
        <f t="shared" si="16"/>
        <v>0</v>
      </c>
      <c r="AC232" s="4">
        <f>(L232-M232)*(W232+X232)+($W$158+$X$158-$W$232-$X$232)*(L232)</f>
        <v>37649.215016000009</v>
      </c>
      <c r="AD232" s="4">
        <f t="shared" si="17"/>
        <v>0</v>
      </c>
      <c r="AE232" s="4">
        <f ca="1">(L232-M232)*(Z232+AA232)+($Z$158+$AA$158-$Z$232-$AA$232)*(L232)</f>
        <v>35534.056686296761</v>
      </c>
      <c r="AF232" s="3" t="s">
        <v>611</v>
      </c>
    </row>
    <row r="233" spans="1:32" ht="11.25" customHeight="1" x14ac:dyDescent="0.25">
      <c r="A233" s="3" t="s">
        <v>21</v>
      </c>
      <c r="B233" s="3" t="s">
        <v>40</v>
      </c>
      <c r="C233" s="3" t="s">
        <v>23</v>
      </c>
      <c r="D233" s="3" t="s">
        <v>41</v>
      </c>
      <c r="E233" s="3" t="s">
        <v>50</v>
      </c>
      <c r="F233" s="3" t="s">
        <v>52</v>
      </c>
      <c r="G233" s="3" t="s">
        <v>25</v>
      </c>
      <c r="H233" s="3" t="s">
        <v>25</v>
      </c>
      <c r="I233" s="6">
        <v>44774</v>
      </c>
      <c r="J233" s="4">
        <v>0</v>
      </c>
      <c r="K233" s="4">
        <v>0</v>
      </c>
      <c r="L233" s="4">
        <v>122.92100000000001</v>
      </c>
      <c r="M233" s="4">
        <v>49.168399999999998</v>
      </c>
      <c r="N233" s="4">
        <v>122.92100000000001</v>
      </c>
      <c r="O233" s="4">
        <v>49.168399999999998</v>
      </c>
      <c r="P233" s="4">
        <v>0</v>
      </c>
      <c r="Q233" s="3" t="s">
        <v>26</v>
      </c>
      <c r="R233" s="3">
        <v>0</v>
      </c>
      <c r="S233" s="3">
        <v>0</v>
      </c>
      <c r="T233" s="3">
        <v>20</v>
      </c>
      <c r="U233" s="3">
        <v>52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323.62</v>
      </c>
      <c r="X233" s="4">
        <f>IF(ISERROR(VLOOKUP($U$233,'TAR FIN'!$A$1:$O$85,15,0)),0,VLOOKUP($U$233,'TAR FIN'!$A$1:$O$85,15,0))</f>
        <v>235.76</v>
      </c>
      <c r="Y233" s="4"/>
      <c r="Z233" s="4">
        <f ca="1">('TUSD BE'!$AM$33+'TUSD BF'!$AM$33+'TUSD CVA'!$AM$33)*(1-CUSTOS!$M$38)</f>
        <v>411.34661537566791</v>
      </c>
      <c r="AA233" s="4">
        <f>('TE BE'!$AB$23+'TE BF'!$AB$23+'TE CVA'!$AB$23)*(1-CUSTOS!$M$38)</f>
        <v>174.29557455563423</v>
      </c>
      <c r="AB233" s="4">
        <f t="shared" si="16"/>
        <v>0</v>
      </c>
      <c r="AC233" s="4">
        <f>(L233-M233)*(W233+X233)+($W$158+$X$158-$W$233-$X$233)*(L233)</f>
        <v>50632.143268000014</v>
      </c>
      <c r="AD233" s="4">
        <f t="shared" si="17"/>
        <v>0</v>
      </c>
      <c r="AE233" s="4">
        <f ca="1">(L233-M233)*(Z233+AA233)+($Z$158+$AA$158-$Z$233-$AA$233)*(L233)</f>
        <v>47787.595259800488</v>
      </c>
      <c r="AF233" s="3" t="s">
        <v>611</v>
      </c>
    </row>
    <row r="234" spans="1:32" ht="11.25" customHeight="1" x14ac:dyDescent="0.25">
      <c r="A234" s="3" t="s">
        <v>21</v>
      </c>
      <c r="B234" s="3" t="s">
        <v>40</v>
      </c>
      <c r="C234" s="3" t="s">
        <v>23</v>
      </c>
      <c r="D234" s="3" t="s">
        <v>41</v>
      </c>
      <c r="E234" s="3" t="s">
        <v>53</v>
      </c>
      <c r="F234" s="3" t="s">
        <v>51</v>
      </c>
      <c r="G234" s="3" t="s">
        <v>25</v>
      </c>
      <c r="H234" s="3" t="s">
        <v>25</v>
      </c>
      <c r="I234" s="6">
        <v>44713</v>
      </c>
      <c r="J234" s="4">
        <v>0</v>
      </c>
      <c r="K234" s="4">
        <v>0</v>
      </c>
      <c r="L234" s="4">
        <v>1.6659999999999999</v>
      </c>
      <c r="M234" s="4">
        <v>1.6659999999999999</v>
      </c>
      <c r="N234" s="4">
        <v>1.6659999999999999</v>
      </c>
      <c r="O234" s="4">
        <v>1.6659999999999999</v>
      </c>
      <c r="P234" s="4">
        <v>0</v>
      </c>
      <c r="Q234" s="3" t="s">
        <v>26</v>
      </c>
      <c r="R234" s="3">
        <v>0</v>
      </c>
      <c r="S234" s="3">
        <v>0</v>
      </c>
      <c r="T234" s="3">
        <v>20</v>
      </c>
      <c r="U234" s="3">
        <v>52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323.62</v>
      </c>
      <c r="X234" s="4">
        <f>IF(ISERROR(VLOOKUP($U$234,'TAR FIN'!$A$1:$O$85,15,0)),0,VLOOKUP($U$234,'TAR FIN'!$A$1:$O$85,15,0))</f>
        <v>235.76</v>
      </c>
      <c r="Y234" s="4"/>
      <c r="Z234" s="4">
        <f ca="1">('TUSD BE'!$AM$33+'TUSD BF'!$AM$33+'TUSD CVA'!$AM$33)*(1-CUSTOS!$M$38)</f>
        <v>411.34661537566791</v>
      </c>
      <c r="AA234" s="4">
        <f>('TE BE'!$AB$23+'TE BF'!$AB$23+'TE CVA'!$AB$23)*(1-CUSTOS!$M$38)</f>
        <v>174.29557455563423</v>
      </c>
      <c r="AB234" s="4">
        <f t="shared" si="16"/>
        <v>0</v>
      </c>
      <c r="AC234" s="4">
        <f>(L234-M234)*(W234+X234)+($W$158+$X$158-$W$234-$X$234)*(L234)</f>
        <v>127.08248000000013</v>
      </c>
      <c r="AD234" s="4">
        <f t="shared" si="17"/>
        <v>0</v>
      </c>
      <c r="AE234" s="4">
        <f ca="1">(L234-M234)*(Z234+AA234)+($Z$158+$AA$158-$Z$234-$AA$234)*(L234)</f>
        <v>62.27743968673731</v>
      </c>
      <c r="AF234" s="3" t="s">
        <v>610</v>
      </c>
    </row>
    <row r="235" spans="1:32" ht="11.25" customHeight="1" x14ac:dyDescent="0.25">
      <c r="A235" s="3" t="s">
        <v>21</v>
      </c>
      <c r="B235" s="3" t="s">
        <v>40</v>
      </c>
      <c r="C235" s="3" t="s">
        <v>23</v>
      </c>
      <c r="D235" s="3" t="s">
        <v>41</v>
      </c>
      <c r="E235" s="3" t="s">
        <v>53</v>
      </c>
      <c r="F235" s="3" t="s">
        <v>51</v>
      </c>
      <c r="G235" s="3" t="s">
        <v>25</v>
      </c>
      <c r="H235" s="3" t="s">
        <v>25</v>
      </c>
      <c r="I235" s="6">
        <v>44743</v>
      </c>
      <c r="J235" s="4">
        <v>0</v>
      </c>
      <c r="K235" s="4">
        <v>0</v>
      </c>
      <c r="L235" s="4">
        <v>1.6279999999999999</v>
      </c>
      <c r="M235" s="4">
        <v>1.6279999999999999</v>
      </c>
      <c r="N235" s="4">
        <v>1.6279999999999999</v>
      </c>
      <c r="O235" s="4">
        <v>1.6279999999999999</v>
      </c>
      <c r="P235" s="4">
        <v>0</v>
      </c>
      <c r="Q235" s="3" t="s">
        <v>26</v>
      </c>
      <c r="R235" s="3">
        <v>0</v>
      </c>
      <c r="S235" s="3">
        <v>0</v>
      </c>
      <c r="T235" s="3">
        <v>20</v>
      </c>
      <c r="U235" s="3">
        <v>52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323.62</v>
      </c>
      <c r="X235" s="4">
        <f>IF(ISERROR(VLOOKUP($U$235,'TAR FIN'!$A$1:$O$85,15,0)),0,VLOOKUP($U$235,'TAR FIN'!$A$1:$O$85,15,0))</f>
        <v>235.76</v>
      </c>
      <c r="Y235" s="4"/>
      <c r="Z235" s="4">
        <f ca="1">('TUSD BE'!$AM$33+'TUSD BF'!$AM$33+'TUSD CVA'!$AM$33)*(1-CUSTOS!$M$38)</f>
        <v>411.34661537566791</v>
      </c>
      <c r="AA235" s="4">
        <f>('TE BE'!$AB$23+'TE BF'!$AB$23+'TE CVA'!$AB$23)*(1-CUSTOS!$M$38)</f>
        <v>174.29557455563423</v>
      </c>
      <c r="AB235" s="4">
        <f t="shared" si="16"/>
        <v>0</v>
      </c>
      <c r="AC235" s="4">
        <f>(L235-M235)*(W235+X235)+($W$158+$X$158-$W$235-$X$235)*(L235)</f>
        <v>124.18384000000013</v>
      </c>
      <c r="AD235" s="4">
        <f t="shared" si="17"/>
        <v>0</v>
      </c>
      <c r="AE235" s="4">
        <f ca="1">(L235-M235)*(Z235+AA235)+($Z$158+$AA$158-$Z$235-$AA$235)*(L235)</f>
        <v>60.856945864350742</v>
      </c>
      <c r="AF235" s="3" t="s">
        <v>610</v>
      </c>
    </row>
    <row r="236" spans="1:32" ht="11.25" customHeight="1" x14ac:dyDescent="0.25">
      <c r="A236" s="3" t="s">
        <v>21</v>
      </c>
      <c r="B236" s="3" t="s">
        <v>40</v>
      </c>
      <c r="C236" s="3" t="s">
        <v>23</v>
      </c>
      <c r="D236" s="3" t="s">
        <v>41</v>
      </c>
      <c r="E236" s="3" t="s">
        <v>53</v>
      </c>
      <c r="F236" s="3" t="s">
        <v>51</v>
      </c>
      <c r="G236" s="3" t="s">
        <v>25</v>
      </c>
      <c r="H236" s="3" t="s">
        <v>25</v>
      </c>
      <c r="I236" s="6">
        <v>44774</v>
      </c>
      <c r="J236" s="4">
        <v>0</v>
      </c>
      <c r="K236" s="4">
        <v>0</v>
      </c>
      <c r="L236" s="4">
        <v>0.871</v>
      </c>
      <c r="M236" s="4">
        <v>0.871</v>
      </c>
      <c r="N236" s="4">
        <v>0.871</v>
      </c>
      <c r="O236" s="4">
        <v>0.871</v>
      </c>
      <c r="P236" s="4">
        <v>0</v>
      </c>
      <c r="Q236" s="3" t="s">
        <v>26</v>
      </c>
      <c r="R236" s="3">
        <v>0</v>
      </c>
      <c r="S236" s="3">
        <v>0</v>
      </c>
      <c r="T236" s="3">
        <v>20</v>
      </c>
      <c r="U236" s="3">
        <v>52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323.62</v>
      </c>
      <c r="X236" s="4">
        <f>IF(ISERROR(VLOOKUP($U$236,'TAR FIN'!$A$1:$O$85,15,0)),0,VLOOKUP($U$236,'TAR FIN'!$A$1:$O$85,15,0))</f>
        <v>235.76</v>
      </c>
      <c r="Y236" s="4"/>
      <c r="Z236" s="4">
        <f ca="1">('TUSD BE'!$AM$33+'TUSD BF'!$AM$33+'TUSD CVA'!$AM$33)*(1-CUSTOS!$M$38)</f>
        <v>411.34661537566791</v>
      </c>
      <c r="AA236" s="4">
        <f>('TE BE'!$AB$23+'TE BF'!$AB$23+'TE CVA'!$AB$23)*(1-CUSTOS!$M$38)</f>
        <v>174.29557455563423</v>
      </c>
      <c r="AB236" s="4">
        <f t="shared" si="16"/>
        <v>0</v>
      </c>
      <c r="AC236" s="4">
        <f>(L236-M236)*(W236+X236)+($W$158+$X$158-$W$236-$X$236)*(L236)</f>
        <v>66.439880000000073</v>
      </c>
      <c r="AD236" s="4">
        <f t="shared" si="17"/>
        <v>0</v>
      </c>
      <c r="AE236" s="4">
        <f ca="1">(L236-M236)*(Z236+AA236)+($Z$158+$AA$158-$Z$236-$AA$236)*(L236)</f>
        <v>32.559213665755223</v>
      </c>
      <c r="AF236" s="3" t="s">
        <v>610</v>
      </c>
    </row>
    <row r="237" spans="1:32" ht="11.25" customHeight="1" x14ac:dyDescent="0.25">
      <c r="A237" s="3" t="s">
        <v>21</v>
      </c>
      <c r="B237" s="3" t="s">
        <v>40</v>
      </c>
      <c r="C237" s="3" t="s">
        <v>23</v>
      </c>
      <c r="D237" s="3" t="s">
        <v>41</v>
      </c>
      <c r="E237" s="3" t="s">
        <v>53</v>
      </c>
      <c r="F237" s="3" t="s">
        <v>52</v>
      </c>
      <c r="G237" s="3" t="s">
        <v>25</v>
      </c>
      <c r="H237" s="3" t="s">
        <v>25</v>
      </c>
      <c r="I237" s="6">
        <v>44743</v>
      </c>
      <c r="J237" s="4">
        <v>0</v>
      </c>
      <c r="K237" s="4">
        <v>0</v>
      </c>
      <c r="L237" s="4">
        <v>1.3620000000000001</v>
      </c>
      <c r="M237" s="4">
        <v>0.54479999999999995</v>
      </c>
      <c r="N237" s="4">
        <v>1.3620000000000001</v>
      </c>
      <c r="O237" s="4">
        <v>0.54479999999999995</v>
      </c>
      <c r="P237" s="4">
        <v>0</v>
      </c>
      <c r="Q237" s="3" t="s">
        <v>26</v>
      </c>
      <c r="R237" s="3">
        <v>0</v>
      </c>
      <c r="S237" s="3">
        <v>0</v>
      </c>
      <c r="T237" s="3">
        <v>20</v>
      </c>
      <c r="U237" s="3">
        <v>52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323.62</v>
      </c>
      <c r="X237" s="4">
        <f>IF(ISERROR(VLOOKUP($U$237,'TAR FIN'!$A$1:$O$85,15,0)),0,VLOOKUP($U$237,'TAR FIN'!$A$1:$O$85,15,0))</f>
        <v>235.76</v>
      </c>
      <c r="Y237" s="4"/>
      <c r="Z237" s="4">
        <f ca="1">('TUSD BE'!$AM$33+'TUSD BF'!$AM$33+'TUSD CVA'!$AM$33)*(1-CUSTOS!$M$38)</f>
        <v>411.34661537566791</v>
      </c>
      <c r="AA237" s="4">
        <f>('TE BE'!$AB$23+'TE BF'!$AB$23+'TE CVA'!$AB$23)*(1-CUSTOS!$M$38)</f>
        <v>174.29557455563423</v>
      </c>
      <c r="AB237" s="4">
        <f t="shared" si="16"/>
        <v>0</v>
      </c>
      <c r="AC237" s="4">
        <f>(L237-M237)*(W237+X237)+($W$158+$X$158-$W$237-$X$237)*(L237)</f>
        <v>561.0186960000002</v>
      </c>
      <c r="AD237" s="4">
        <f t="shared" si="17"/>
        <v>0</v>
      </c>
      <c r="AE237" s="4">
        <f ca="1">(L237-M237)*(Z237+AA237)+($Z$158+$AA$158-$Z$237-$AA$237)*(L237)</f>
        <v>529.50028671950497</v>
      </c>
      <c r="AF237" s="3" t="s">
        <v>611</v>
      </c>
    </row>
    <row r="238" spans="1:32" ht="11.25" customHeight="1" x14ac:dyDescent="0.25">
      <c r="A238" s="3" t="s">
        <v>21</v>
      </c>
      <c r="B238" s="3" t="s">
        <v>40</v>
      </c>
      <c r="C238" s="3" t="s">
        <v>23</v>
      </c>
      <c r="D238" s="3" t="s">
        <v>41</v>
      </c>
      <c r="E238" s="3" t="s">
        <v>53</v>
      </c>
      <c r="F238" s="3" t="s">
        <v>52</v>
      </c>
      <c r="G238" s="3" t="s">
        <v>25</v>
      </c>
      <c r="H238" s="3" t="s">
        <v>25</v>
      </c>
      <c r="I238" s="6">
        <v>44774</v>
      </c>
      <c r="J238" s="4">
        <v>0</v>
      </c>
      <c r="K238" s="4">
        <v>0</v>
      </c>
      <c r="L238" s="4">
        <v>0.73199999999999998</v>
      </c>
      <c r="M238" s="4">
        <v>0.2928</v>
      </c>
      <c r="N238" s="4">
        <v>0.73199999999999998</v>
      </c>
      <c r="O238" s="4">
        <v>0.2928</v>
      </c>
      <c r="P238" s="4">
        <v>0</v>
      </c>
      <c r="Q238" s="3" t="s">
        <v>26</v>
      </c>
      <c r="R238" s="3">
        <v>0</v>
      </c>
      <c r="S238" s="3">
        <v>0</v>
      </c>
      <c r="T238" s="3">
        <v>20</v>
      </c>
      <c r="U238" s="3">
        <v>52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323.62</v>
      </c>
      <c r="X238" s="4">
        <f>IF(ISERROR(VLOOKUP($U$238,'TAR FIN'!$A$1:$O$85,15,0)),0,VLOOKUP($U$238,'TAR FIN'!$A$1:$O$85,15,0))</f>
        <v>235.76</v>
      </c>
      <c r="Y238" s="4"/>
      <c r="Z238" s="4">
        <f ca="1">('TUSD BE'!$AM$33+'TUSD BF'!$AM$33+'TUSD CVA'!$AM$33)*(1-CUSTOS!$M$38)</f>
        <v>411.34661537566791</v>
      </c>
      <c r="AA238" s="4">
        <f>('TE BE'!$AB$23+'TE BF'!$AB$23+'TE CVA'!$AB$23)*(1-CUSTOS!$M$38)</f>
        <v>174.29557455563423</v>
      </c>
      <c r="AB238" s="4">
        <f t="shared" si="16"/>
        <v>0</v>
      </c>
      <c r="AC238" s="4">
        <f>(L238-M238)*(W238+X238)+($W$158+$X$158-$W$238-$X$238)*(L238)</f>
        <v>301.51665600000001</v>
      </c>
      <c r="AD238" s="4">
        <f t="shared" si="17"/>
        <v>0</v>
      </c>
      <c r="AE238" s="4">
        <f ca="1">(L238-M238)*(Z238+AA238)+($Z$158+$AA$158-$Z$238-$AA$238)*(L238)</f>
        <v>284.57724660695857</v>
      </c>
      <c r="AF238" s="3" t="s">
        <v>611</v>
      </c>
    </row>
    <row r="239" spans="1:32" ht="11.25" customHeight="1" x14ac:dyDescent="0.25">
      <c r="A239" s="3" t="s">
        <v>21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44440</v>
      </c>
      <c r="J239" s="4">
        <v>0</v>
      </c>
      <c r="K239" s="4">
        <v>0</v>
      </c>
      <c r="L239" s="4">
        <v>393.584</v>
      </c>
      <c r="M239" s="4">
        <v>393.584</v>
      </c>
      <c r="N239" s="4">
        <v>393.584</v>
      </c>
      <c r="O239" s="4">
        <v>393.584</v>
      </c>
      <c r="P239" s="4">
        <v>412</v>
      </c>
      <c r="Q239" s="3" t="s">
        <v>26</v>
      </c>
      <c r="R239" s="3">
        <v>0</v>
      </c>
      <c r="S239" s="3">
        <v>0</v>
      </c>
      <c r="T239" s="3">
        <v>20</v>
      </c>
      <c r="U239" s="3">
        <v>52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323.62</v>
      </c>
      <c r="X239" s="4">
        <f>IF(ISERROR(VLOOKUP($U$239,'TAR FIN'!$A$1:$O$85,15,0)),0,VLOOKUP($U$239,'TAR FIN'!$A$1:$O$85,15,0))</f>
        <v>235.76</v>
      </c>
      <c r="Y239" s="4"/>
      <c r="Z239" s="4">
        <f ca="1">('TUSD BE'!$AM$33+'TUSD BF'!$AM$33+'TUSD CVA'!$AM$33)*(1-CUSTOS!$M$38)</f>
        <v>411.34661537566791</v>
      </c>
      <c r="AA239" s="4">
        <f>('TE BE'!$AB$23+'TE BF'!$AB$23+'TE CVA'!$AB$23)*(1-CUSTOS!$M$38)</f>
        <v>174.29557455563423</v>
      </c>
      <c r="AB239" s="4">
        <f t="shared" si="16"/>
        <v>0</v>
      </c>
      <c r="AC239" s="4">
        <f>(L239-M239)*(W239+X239)+($W$158+$X$158-$W$239-$X$239)*(L239)</f>
        <v>30022.587520000034</v>
      </c>
      <c r="AD239" s="4">
        <f t="shared" si="17"/>
        <v>0</v>
      </c>
      <c r="AE239" s="4">
        <f ca="1">(L239-M239)*(Z239+AA239)+($Z$158+$AA$158-$Z$239-$AA$239)*(L239)</f>
        <v>14712.727383952473</v>
      </c>
      <c r="AF239" s="3" t="s">
        <v>610</v>
      </c>
    </row>
    <row r="240" spans="1:32" ht="11.25" customHeight="1" x14ac:dyDescent="0.25">
      <c r="A240" s="3" t="s">
        <v>28</v>
      </c>
      <c r="B240" s="3" t="s">
        <v>40</v>
      </c>
      <c r="C240" s="3" t="s">
        <v>23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44440</v>
      </c>
      <c r="J240" s="4">
        <v>0</v>
      </c>
      <c r="K240" s="4">
        <v>0</v>
      </c>
      <c r="L240" s="4">
        <v>6.82</v>
      </c>
      <c r="M240" s="4">
        <v>6.82</v>
      </c>
      <c r="N240" s="4">
        <v>6.82</v>
      </c>
      <c r="O240" s="4">
        <v>6.82</v>
      </c>
      <c r="P240" s="4">
        <v>2</v>
      </c>
      <c r="Q240" s="3" t="s">
        <v>26</v>
      </c>
      <c r="R240" s="3">
        <v>0</v>
      </c>
      <c r="S240" s="3">
        <v>0</v>
      </c>
      <c r="T240" s="3">
        <v>20</v>
      </c>
      <c r="U240" s="3">
        <v>52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323.62</v>
      </c>
      <c r="X240" s="4">
        <f>IF(ISERROR(VLOOKUP($U$240,'TAR FIN'!$A$1:$O$85,15,0)),0,VLOOKUP($U$240,'TAR FIN'!$A$1:$O$85,15,0))</f>
        <v>235.76</v>
      </c>
      <c r="Y240" s="4"/>
      <c r="Z240" s="4">
        <f ca="1">('TUSD BE'!$AM$33+'TUSD BF'!$AM$33+'TUSD CVA'!$AM$33)*(1-CUSTOS!$M$38)</f>
        <v>411.34661537566791</v>
      </c>
      <c r="AA240" s="4">
        <f>('TE BE'!$AB$23+'TE BF'!$AB$23+'TE CVA'!$AB$23)*(1-CUSTOS!$M$38)</f>
        <v>174.29557455563423</v>
      </c>
      <c r="AB240" s="4">
        <f t="shared" si="16"/>
        <v>0</v>
      </c>
      <c r="AC240" s="4">
        <f>(L240-M240)*(W240+X240)+($W$158+$X$158-$W$240-$X$240)*(L240)</f>
        <v>520.22960000000057</v>
      </c>
      <c r="AD240" s="4">
        <f t="shared" si="17"/>
        <v>0</v>
      </c>
      <c r="AE240" s="4">
        <f ca="1">(L240-M240)*(Z240+AA240)+($Z$158+$AA$158-$Z$240-$AA$240)*(L240)</f>
        <v>254.94125970200992</v>
      </c>
      <c r="AF240" s="3" t="s">
        <v>610</v>
      </c>
    </row>
    <row r="241" spans="1:32" ht="11.25" customHeight="1" x14ac:dyDescent="0.25">
      <c r="A241" s="3" t="s">
        <v>21</v>
      </c>
      <c r="B241" s="3" t="s">
        <v>40</v>
      </c>
      <c r="C241" s="3" t="s">
        <v>23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44470</v>
      </c>
      <c r="J241" s="4">
        <v>0</v>
      </c>
      <c r="K241" s="4">
        <v>0</v>
      </c>
      <c r="L241" s="4">
        <v>397.71499999999997</v>
      </c>
      <c r="M241" s="4">
        <v>397.71499999999997</v>
      </c>
      <c r="N241" s="4">
        <v>397.71499999999997</v>
      </c>
      <c r="O241" s="4">
        <v>397.71499999999997</v>
      </c>
      <c r="P241" s="4">
        <v>409</v>
      </c>
      <c r="Q241" s="3" t="s">
        <v>26</v>
      </c>
      <c r="R241" s="3">
        <v>0</v>
      </c>
      <c r="S241" s="3">
        <v>0</v>
      </c>
      <c r="T241" s="3">
        <v>20</v>
      </c>
      <c r="U241" s="3">
        <v>52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323.62</v>
      </c>
      <c r="X241" s="4">
        <f>IF(ISERROR(VLOOKUP($U$241,'TAR FIN'!$A$1:$O$85,15,0)),0,VLOOKUP($U$241,'TAR FIN'!$A$1:$O$85,15,0))</f>
        <v>235.76</v>
      </c>
      <c r="Y241" s="4"/>
      <c r="Z241" s="4">
        <f ca="1">('TUSD BE'!$AM$33+'TUSD BF'!$AM$33+'TUSD CVA'!$AM$33)*(1-CUSTOS!$M$38)</f>
        <v>411.34661537566791</v>
      </c>
      <c r="AA241" s="4">
        <f>('TE BE'!$AB$23+'TE BF'!$AB$23+'TE CVA'!$AB$23)*(1-CUSTOS!$M$38)</f>
        <v>174.29557455563423</v>
      </c>
      <c r="AB241" s="4">
        <f t="shared" si="16"/>
        <v>0</v>
      </c>
      <c r="AC241" s="4">
        <f>(L241-M241)*(W241+X241)+($W$158+$X$158-$W$241-$X$241)*(L241)</f>
        <v>30337.700200000032</v>
      </c>
      <c r="AD241" s="4">
        <f t="shared" si="17"/>
        <v>0</v>
      </c>
      <c r="AE241" s="4">
        <f ca="1">(L241-M241)*(Z241+AA241)+($Z$158+$AA$158-$Z$241-$AA$241)*(L241)</f>
        <v>14867.150015012443</v>
      </c>
      <c r="AF241" s="3" t="s">
        <v>610</v>
      </c>
    </row>
    <row r="242" spans="1:32" ht="11.25" customHeight="1" x14ac:dyDescent="0.25">
      <c r="A242" s="3" t="s">
        <v>28</v>
      </c>
      <c r="B242" s="3" t="s">
        <v>40</v>
      </c>
      <c r="C242" s="3" t="s">
        <v>23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44470</v>
      </c>
      <c r="J242" s="4">
        <v>0</v>
      </c>
      <c r="K242" s="4">
        <v>0</v>
      </c>
      <c r="L242" s="4">
        <v>6.7629999999999999</v>
      </c>
      <c r="M242" s="4">
        <v>6.7629999999999999</v>
      </c>
      <c r="N242" s="4">
        <v>6.7629999999999999</v>
      </c>
      <c r="O242" s="4">
        <v>6.7629999999999999</v>
      </c>
      <c r="P242" s="4">
        <v>3</v>
      </c>
      <c r="Q242" s="3" t="s">
        <v>26</v>
      </c>
      <c r="R242" s="3">
        <v>0</v>
      </c>
      <c r="S242" s="3">
        <v>0</v>
      </c>
      <c r="T242" s="3">
        <v>20</v>
      </c>
      <c r="U242" s="3">
        <v>52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323.62</v>
      </c>
      <c r="X242" s="4">
        <f>IF(ISERROR(VLOOKUP($U$242,'TAR FIN'!$A$1:$O$85,15,0)),0,VLOOKUP($U$242,'TAR FIN'!$A$1:$O$85,15,0))</f>
        <v>235.76</v>
      </c>
      <c r="Y242" s="4"/>
      <c r="Z242" s="4">
        <f ca="1">('TUSD BE'!$AM$33+'TUSD BF'!$AM$33+'TUSD CVA'!$AM$33)*(1-CUSTOS!$M$38)</f>
        <v>411.34661537566791</v>
      </c>
      <c r="AA242" s="4">
        <f>('TE BE'!$AB$23+'TE BF'!$AB$23+'TE CVA'!$AB$23)*(1-CUSTOS!$M$38)</f>
        <v>174.29557455563423</v>
      </c>
      <c r="AB242" s="4">
        <f t="shared" si="16"/>
        <v>0</v>
      </c>
      <c r="AC242" s="4">
        <f>(L242-M242)*(W242+X242)+($W$158+$X$158-$W$242-$X$242)*(L242)</f>
        <v>515.88164000000063</v>
      </c>
      <c r="AD242" s="4">
        <f t="shared" si="17"/>
        <v>0</v>
      </c>
      <c r="AE242" s="4">
        <f ca="1">(L242-M242)*(Z242+AA242)+($Z$158+$AA$158-$Z$242-$AA$242)*(L242)</f>
        <v>252.81051896843005</v>
      </c>
      <c r="AF242" s="3" t="s">
        <v>610</v>
      </c>
    </row>
    <row r="243" spans="1:32" ht="11.25" customHeight="1" x14ac:dyDescent="0.25">
      <c r="A243" s="3" t="s">
        <v>21</v>
      </c>
      <c r="B243" s="3" t="s">
        <v>40</v>
      </c>
      <c r="C243" s="3" t="s">
        <v>23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44501</v>
      </c>
      <c r="J243" s="4">
        <v>0</v>
      </c>
      <c r="K243" s="4">
        <v>0</v>
      </c>
      <c r="L243" s="4">
        <v>299.173</v>
      </c>
      <c r="M243" s="4">
        <v>299.173</v>
      </c>
      <c r="N243" s="4">
        <v>299.173</v>
      </c>
      <c r="O243" s="4">
        <v>299.173</v>
      </c>
      <c r="P243" s="4">
        <v>407</v>
      </c>
      <c r="Q243" s="3" t="s">
        <v>26</v>
      </c>
      <c r="R243" s="3">
        <v>0</v>
      </c>
      <c r="S243" s="3">
        <v>0</v>
      </c>
      <c r="T243" s="3">
        <v>20</v>
      </c>
      <c r="U243" s="3">
        <v>52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323.62</v>
      </c>
      <c r="X243" s="4">
        <f>IF(ISERROR(VLOOKUP($U$243,'TAR FIN'!$A$1:$O$85,15,0)),0,VLOOKUP($U$243,'TAR FIN'!$A$1:$O$85,15,0))</f>
        <v>235.76</v>
      </c>
      <c r="Y243" s="4"/>
      <c r="Z243" s="4">
        <f ca="1">('TUSD BE'!$AM$33+'TUSD BF'!$AM$33+'TUSD CVA'!$AM$33)*(1-CUSTOS!$M$38)</f>
        <v>411.34661537566791</v>
      </c>
      <c r="AA243" s="4">
        <f>('TE BE'!$AB$23+'TE BF'!$AB$23+'TE CVA'!$AB$23)*(1-CUSTOS!$M$38)</f>
        <v>174.29557455563423</v>
      </c>
      <c r="AB243" s="4">
        <f t="shared" si="16"/>
        <v>0</v>
      </c>
      <c r="AC243" s="4">
        <f>(L243-M243)*(W243+X243)+($W$158+$X$158-$W$243-$X$243)*(L243)</f>
        <v>22820.916440000026</v>
      </c>
      <c r="AD243" s="4">
        <f t="shared" si="17"/>
        <v>0</v>
      </c>
      <c r="AE243" s="4">
        <f ca="1">(L243-M243)*(Z243+AA243)+($Z$158+$AA$158-$Z$243-$AA$243)*(L243)</f>
        <v>11183.51048223305</v>
      </c>
      <c r="AF243" s="3" t="s">
        <v>610</v>
      </c>
    </row>
    <row r="244" spans="1:32" ht="11.25" customHeight="1" x14ac:dyDescent="0.25">
      <c r="A244" s="3" t="s">
        <v>27</v>
      </c>
      <c r="B244" s="3" t="s">
        <v>40</v>
      </c>
      <c r="C244" s="3" t="s">
        <v>23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44501</v>
      </c>
      <c r="J244" s="4">
        <v>0</v>
      </c>
      <c r="K244" s="4">
        <v>0</v>
      </c>
      <c r="L244" s="4">
        <v>-3.1520000000000001</v>
      </c>
      <c r="M244" s="4">
        <v>-3.1520000000000001</v>
      </c>
      <c r="N244" s="4">
        <v>-3.1520000000000001</v>
      </c>
      <c r="O244" s="4">
        <v>-3.1520000000000001</v>
      </c>
      <c r="P244" s="4">
        <v>0</v>
      </c>
      <c r="Q244" s="3" t="s">
        <v>26</v>
      </c>
      <c r="R244" s="3">
        <v>0</v>
      </c>
      <c r="S244" s="3">
        <v>0</v>
      </c>
      <c r="T244" s="3">
        <v>20</v>
      </c>
      <c r="U244" s="3">
        <v>52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323.62</v>
      </c>
      <c r="X244" s="4">
        <f>IF(ISERROR(VLOOKUP($U$244,'TAR FIN'!$A$1:$O$85,15,0)),0,VLOOKUP($U$244,'TAR FIN'!$A$1:$O$85,15,0))</f>
        <v>235.76</v>
      </c>
      <c r="Y244" s="4"/>
      <c r="Z244" s="4">
        <f ca="1">('TUSD BE'!$AM$33+'TUSD BF'!$AM$33+'TUSD CVA'!$AM$33)*(1-CUSTOS!$M$38)</f>
        <v>411.34661537566791</v>
      </c>
      <c r="AA244" s="4">
        <f>('TE BE'!$AB$23+'TE BF'!$AB$23+'TE CVA'!$AB$23)*(1-CUSTOS!$M$38)</f>
        <v>174.29557455563423</v>
      </c>
      <c r="AB244" s="4">
        <f t="shared" si="16"/>
        <v>0</v>
      </c>
      <c r="AC244" s="4">
        <f>(L244-M244)*(W244+X244)+($W$158+$X$158-$W$244-$X$244)*(L244)</f>
        <v>-240.43456000000029</v>
      </c>
      <c r="AD244" s="4">
        <f t="shared" si="17"/>
        <v>0</v>
      </c>
      <c r="AE244" s="4">
        <f ca="1">(L244-M244)*(Z244+AA244)+($Z$158+$AA$158-$Z$244-$AA$244)*(L244)</f>
        <v>-117.82622442532775</v>
      </c>
      <c r="AF244" s="3" t="s">
        <v>610</v>
      </c>
    </row>
    <row r="245" spans="1:32" ht="11.25" customHeight="1" x14ac:dyDescent="0.25">
      <c r="A245" s="3" t="s">
        <v>28</v>
      </c>
      <c r="B245" s="3" t="s">
        <v>40</v>
      </c>
      <c r="C245" s="3" t="s">
        <v>23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44501</v>
      </c>
      <c r="J245" s="4">
        <v>0</v>
      </c>
      <c r="K245" s="4">
        <v>0</v>
      </c>
      <c r="L245" s="4">
        <v>5.84</v>
      </c>
      <c r="M245" s="4">
        <v>5.84</v>
      </c>
      <c r="N245" s="4">
        <v>5.84</v>
      </c>
      <c r="O245" s="4">
        <v>5.84</v>
      </c>
      <c r="P245" s="4">
        <v>3</v>
      </c>
      <c r="Q245" s="3" t="s">
        <v>26</v>
      </c>
      <c r="R245" s="3">
        <v>0</v>
      </c>
      <c r="S245" s="3">
        <v>0</v>
      </c>
      <c r="T245" s="3">
        <v>20</v>
      </c>
      <c r="U245" s="3">
        <v>52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323.62</v>
      </c>
      <c r="X245" s="4">
        <f>IF(ISERROR(VLOOKUP($U$245,'TAR FIN'!$A$1:$O$85,15,0)),0,VLOOKUP($U$245,'TAR FIN'!$A$1:$O$85,15,0))</f>
        <v>235.76</v>
      </c>
      <c r="Y245" s="4"/>
      <c r="Z245" s="4">
        <f ca="1">('TUSD BE'!$AM$33+'TUSD BF'!$AM$33+'TUSD CVA'!$AM$33)*(1-CUSTOS!$M$38)</f>
        <v>411.34661537566791</v>
      </c>
      <c r="AA245" s="4">
        <f>('TE BE'!$AB$23+'TE BF'!$AB$23+'TE CVA'!$AB$23)*(1-CUSTOS!$M$38)</f>
        <v>174.29557455563423</v>
      </c>
      <c r="AB245" s="4">
        <f t="shared" si="16"/>
        <v>0</v>
      </c>
      <c r="AC245" s="4">
        <f>(L245-M245)*(W245+X245)+($W$158+$X$158-$W$245-$X$245)*(L245)</f>
        <v>445.47520000000048</v>
      </c>
      <c r="AD245" s="4">
        <f t="shared" si="17"/>
        <v>0</v>
      </c>
      <c r="AE245" s="4">
        <f ca="1">(L245-M245)*(Z245+AA245)+($Z$158+$AA$158-$Z$245-$AA$245)*(L245)</f>
        <v>218.30747165098794</v>
      </c>
      <c r="AF245" s="3" t="s">
        <v>610</v>
      </c>
    </row>
    <row r="246" spans="1:32" ht="11.25" customHeight="1" x14ac:dyDescent="0.25">
      <c r="A246" s="3" t="s">
        <v>21</v>
      </c>
      <c r="B246" s="3" t="s">
        <v>40</v>
      </c>
      <c r="C246" s="3" t="s">
        <v>23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44531</v>
      </c>
      <c r="J246" s="4">
        <v>0</v>
      </c>
      <c r="K246" s="4">
        <v>0</v>
      </c>
      <c r="L246" s="4">
        <v>284.95699999999999</v>
      </c>
      <c r="M246" s="4">
        <v>284.95699999999999</v>
      </c>
      <c r="N246" s="4">
        <v>284.95699999999999</v>
      </c>
      <c r="O246" s="4">
        <v>284.95699999999999</v>
      </c>
      <c r="P246" s="4">
        <v>405</v>
      </c>
      <c r="Q246" s="3" t="s">
        <v>26</v>
      </c>
      <c r="R246" s="3">
        <v>0</v>
      </c>
      <c r="S246" s="3">
        <v>0</v>
      </c>
      <c r="T246" s="3">
        <v>20</v>
      </c>
      <c r="U246" s="3">
        <v>52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323.62</v>
      </c>
      <c r="X246" s="4">
        <f>IF(ISERROR(VLOOKUP($U$246,'TAR FIN'!$A$1:$O$85,15,0)),0,VLOOKUP($U$246,'TAR FIN'!$A$1:$O$85,15,0))</f>
        <v>235.76</v>
      </c>
      <c r="Y246" s="4"/>
      <c r="Z246" s="4">
        <f ca="1">('TUSD BE'!$AM$33+'TUSD BF'!$AM$33+'TUSD CVA'!$AM$33)*(1-CUSTOS!$M$38)</f>
        <v>411.34661537566791</v>
      </c>
      <c r="AA246" s="4">
        <f>('TE BE'!$AB$23+'TE BF'!$AB$23+'TE CVA'!$AB$23)*(1-CUSTOS!$M$38)</f>
        <v>174.29557455563423</v>
      </c>
      <c r="AB246" s="4">
        <f t="shared" si="16"/>
        <v>0</v>
      </c>
      <c r="AC246" s="4">
        <f>(L246-M246)*(W246+X246)+($W$158+$X$158-$W$246-$X$246)*(L246)</f>
        <v>21736.519960000023</v>
      </c>
      <c r="AD246" s="4">
        <f t="shared" si="17"/>
        <v>0</v>
      </c>
      <c r="AE246" s="4">
        <f ca="1">(L246-M246)*(Z246+AA246)+($Z$158+$AA$158-$Z$246-$AA$246)*(L246)</f>
        <v>10652.09626699496</v>
      </c>
      <c r="AF246" s="3" t="s">
        <v>610</v>
      </c>
    </row>
    <row r="247" spans="1:32" ht="11.25" customHeight="1" x14ac:dyDescent="0.25">
      <c r="A247" s="3" t="s">
        <v>27</v>
      </c>
      <c r="B247" s="3" t="s">
        <v>40</v>
      </c>
      <c r="C247" s="3" t="s">
        <v>23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44531</v>
      </c>
      <c r="J247" s="4">
        <v>0</v>
      </c>
      <c r="K247" s="4">
        <v>0</v>
      </c>
      <c r="L247" s="4">
        <v>-0.1</v>
      </c>
      <c r="M247" s="4">
        <v>-0.1</v>
      </c>
      <c r="N247" s="4">
        <v>-0.1</v>
      </c>
      <c r="O247" s="4">
        <v>-0.1</v>
      </c>
      <c r="P247" s="4">
        <v>0</v>
      </c>
      <c r="Q247" s="3" t="s">
        <v>26</v>
      </c>
      <c r="R247" s="3">
        <v>0</v>
      </c>
      <c r="S247" s="3">
        <v>0</v>
      </c>
      <c r="T247" s="3">
        <v>20</v>
      </c>
      <c r="U247" s="3">
        <v>52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323.62</v>
      </c>
      <c r="X247" s="4">
        <f>IF(ISERROR(VLOOKUP($U$247,'TAR FIN'!$A$1:$O$85,15,0)),0,VLOOKUP($U$247,'TAR FIN'!$A$1:$O$85,15,0))</f>
        <v>235.76</v>
      </c>
      <c r="Y247" s="4"/>
      <c r="Z247" s="4">
        <f ca="1">('TUSD BE'!$AM$33+'TUSD BF'!$AM$33+'TUSD CVA'!$AM$33)*(1-CUSTOS!$M$38)</f>
        <v>411.34661537566791</v>
      </c>
      <c r="AA247" s="4">
        <f>('TE BE'!$AB$23+'TE BF'!$AB$23+'TE CVA'!$AB$23)*(1-CUSTOS!$M$38)</f>
        <v>174.29557455563423</v>
      </c>
      <c r="AB247" s="4">
        <f t="shared" si="16"/>
        <v>0</v>
      </c>
      <c r="AC247" s="4">
        <f>(L247-M247)*(W247+X247)+($W$158+$X$158-$W$247-$X$247)*(L247)</f>
        <v>-7.628000000000009</v>
      </c>
      <c r="AD247" s="4">
        <f t="shared" si="17"/>
        <v>0</v>
      </c>
      <c r="AE247" s="4">
        <f ca="1">(L247-M247)*(Z247+AA247)+($Z$158+$AA$158-$Z$247-$AA$247)*(L247)</f>
        <v>-3.7381416378593828</v>
      </c>
      <c r="AF247" s="3" t="s">
        <v>610</v>
      </c>
    </row>
    <row r="248" spans="1:32" ht="11.25" customHeight="1" x14ac:dyDescent="0.25">
      <c r="A248" s="3" t="s">
        <v>28</v>
      </c>
      <c r="B248" s="3" t="s">
        <v>40</v>
      </c>
      <c r="C248" s="3" t="s">
        <v>23</v>
      </c>
      <c r="D248" s="3" t="s">
        <v>41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44531</v>
      </c>
      <c r="J248" s="4">
        <v>0</v>
      </c>
      <c r="K248" s="4">
        <v>0</v>
      </c>
      <c r="L248" s="4">
        <v>6.6379999999999999</v>
      </c>
      <c r="M248" s="4">
        <v>6.6379999999999999</v>
      </c>
      <c r="N248" s="4">
        <v>6.6379999999999999</v>
      </c>
      <c r="O248" s="4">
        <v>6.6379999999999999</v>
      </c>
      <c r="P248" s="4">
        <v>4</v>
      </c>
      <c r="Q248" s="3" t="s">
        <v>26</v>
      </c>
      <c r="R248" s="3">
        <v>0</v>
      </c>
      <c r="S248" s="3">
        <v>0</v>
      </c>
      <c r="T248" s="3">
        <v>20</v>
      </c>
      <c r="U248" s="3">
        <v>52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323.62</v>
      </c>
      <c r="X248" s="4">
        <f>IF(ISERROR(VLOOKUP($U$248,'TAR FIN'!$A$1:$O$85,15,0)),0,VLOOKUP($U$248,'TAR FIN'!$A$1:$O$85,15,0))</f>
        <v>235.76</v>
      </c>
      <c r="Y248" s="4"/>
      <c r="Z248" s="4">
        <f ca="1">('TUSD BE'!$AM$33+'TUSD BF'!$AM$33+'TUSD CVA'!$AM$33)*(1-CUSTOS!$M$38)</f>
        <v>411.34661537566791</v>
      </c>
      <c r="AA248" s="4">
        <f>('TE BE'!$AB$23+'TE BF'!$AB$23+'TE CVA'!$AB$23)*(1-CUSTOS!$M$38)</f>
        <v>174.29557455563423</v>
      </c>
      <c r="AB248" s="4">
        <f t="shared" si="16"/>
        <v>0</v>
      </c>
      <c r="AC248" s="4">
        <f>(L248-M248)*(W248+X248)+($W$158+$X$158-$W$248-$X$248)*(L248)</f>
        <v>506.34664000000055</v>
      </c>
      <c r="AD248" s="4">
        <f t="shared" si="17"/>
        <v>0</v>
      </c>
      <c r="AE248" s="4">
        <f ca="1">(L248-M248)*(Z248+AA248)+($Z$158+$AA$158-$Z$248-$AA$248)*(L248)</f>
        <v>248.1378419211058</v>
      </c>
      <c r="AF248" s="3" t="s">
        <v>610</v>
      </c>
    </row>
    <row r="249" spans="1:32" ht="11.25" customHeight="1" x14ac:dyDescent="0.25">
      <c r="A249" s="3" t="s">
        <v>21</v>
      </c>
      <c r="B249" s="3" t="s">
        <v>40</v>
      </c>
      <c r="C249" s="3" t="s">
        <v>23</v>
      </c>
      <c r="D249" s="3" t="s">
        <v>41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44562</v>
      </c>
      <c r="J249" s="4">
        <v>0</v>
      </c>
      <c r="K249" s="4">
        <v>0</v>
      </c>
      <c r="L249" s="4">
        <v>271.41300000000001</v>
      </c>
      <c r="M249" s="4">
        <v>271.41300000000001</v>
      </c>
      <c r="N249" s="4">
        <v>271.41300000000001</v>
      </c>
      <c r="O249" s="4">
        <v>271.41300000000001</v>
      </c>
      <c r="P249" s="4">
        <v>402</v>
      </c>
      <c r="Q249" s="3" t="s">
        <v>26</v>
      </c>
      <c r="R249" s="3">
        <v>0</v>
      </c>
      <c r="S249" s="3">
        <v>0</v>
      </c>
      <c r="T249" s="3">
        <v>20</v>
      </c>
      <c r="U249" s="3">
        <v>52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323.62</v>
      </c>
      <c r="X249" s="4">
        <f>IF(ISERROR(VLOOKUP($U$249,'TAR FIN'!$A$1:$O$85,15,0)),0,VLOOKUP($U$249,'TAR FIN'!$A$1:$O$85,15,0))</f>
        <v>235.76</v>
      </c>
      <c r="Y249" s="4"/>
      <c r="Z249" s="4">
        <f ca="1">('TUSD BE'!$AM$33+'TUSD BF'!$AM$33+'TUSD CVA'!$AM$33)*(1-CUSTOS!$M$38)</f>
        <v>411.34661537566791</v>
      </c>
      <c r="AA249" s="4">
        <f>('TE BE'!$AB$23+'TE BF'!$AB$23+'TE CVA'!$AB$23)*(1-CUSTOS!$M$38)</f>
        <v>174.29557455563423</v>
      </c>
      <c r="AB249" s="4">
        <f t="shared" si="16"/>
        <v>0</v>
      </c>
      <c r="AC249" s="4">
        <f>(L249-M249)*(W249+X249)+($W$158+$X$158-$W$249-$X$249)*(L249)</f>
        <v>20703.383640000025</v>
      </c>
      <c r="AD249" s="4">
        <f t="shared" si="17"/>
        <v>0</v>
      </c>
      <c r="AE249" s="4">
        <f ca="1">(L249-M249)*(Z249+AA249)+($Z$158+$AA$158-$Z$249-$AA$249)*(L249)</f>
        <v>10145.802363563287</v>
      </c>
      <c r="AF249" s="3" t="s">
        <v>610</v>
      </c>
    </row>
    <row r="250" spans="1:32" ht="11.25" customHeight="1" x14ac:dyDescent="0.25">
      <c r="A250" s="3" t="s">
        <v>27</v>
      </c>
      <c r="B250" s="3" t="s">
        <v>40</v>
      </c>
      <c r="C250" s="3" t="s">
        <v>23</v>
      </c>
      <c r="D250" s="3" t="s">
        <v>41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44562</v>
      </c>
      <c r="J250" s="4">
        <v>0</v>
      </c>
      <c r="K250" s="4">
        <v>0</v>
      </c>
      <c r="L250" s="4">
        <v>-0.58099999999999996</v>
      </c>
      <c r="M250" s="4">
        <v>-0.58099999999999996</v>
      </c>
      <c r="N250" s="4">
        <v>-0.58099999999999996</v>
      </c>
      <c r="O250" s="4">
        <v>-0.58099999999999996</v>
      </c>
      <c r="P250" s="4">
        <v>0</v>
      </c>
      <c r="Q250" s="3" t="s">
        <v>26</v>
      </c>
      <c r="R250" s="3">
        <v>0</v>
      </c>
      <c r="S250" s="3">
        <v>0</v>
      </c>
      <c r="T250" s="3">
        <v>20</v>
      </c>
      <c r="U250" s="3">
        <v>52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323.62</v>
      </c>
      <c r="X250" s="4">
        <f>IF(ISERROR(VLOOKUP($U$250,'TAR FIN'!$A$1:$O$85,15,0)),0,VLOOKUP($U$250,'TAR FIN'!$A$1:$O$85,15,0))</f>
        <v>235.76</v>
      </c>
      <c r="Y250" s="4"/>
      <c r="Z250" s="4">
        <f ca="1">('TUSD BE'!$AM$33+'TUSD BF'!$AM$33+'TUSD CVA'!$AM$33)*(1-CUSTOS!$M$38)</f>
        <v>411.34661537566791</v>
      </c>
      <c r="AA250" s="4">
        <f>('TE BE'!$AB$23+'TE BF'!$AB$23+'TE CVA'!$AB$23)*(1-CUSTOS!$M$38)</f>
        <v>174.29557455563423</v>
      </c>
      <c r="AB250" s="4">
        <f t="shared" si="16"/>
        <v>0</v>
      </c>
      <c r="AC250" s="4">
        <f>(L250-M250)*(W250+X250)+($W$158+$X$158-$W$250-$X$250)*(L250)</f>
        <v>-44.31868000000005</v>
      </c>
      <c r="AD250" s="4">
        <f t="shared" si="17"/>
        <v>0</v>
      </c>
      <c r="AE250" s="4">
        <f ca="1">(L250-M250)*(Z250+AA250)+($Z$158+$AA$158-$Z$250-$AA$250)*(L250)</f>
        <v>-21.718602915963011</v>
      </c>
      <c r="AF250" s="3" t="s">
        <v>610</v>
      </c>
    </row>
    <row r="251" spans="1:32" ht="11.25" customHeight="1" x14ac:dyDescent="0.25">
      <c r="A251" s="3" t="s">
        <v>28</v>
      </c>
      <c r="B251" s="3" t="s">
        <v>40</v>
      </c>
      <c r="C251" s="3" t="s">
        <v>23</v>
      </c>
      <c r="D251" s="3" t="s">
        <v>41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44562</v>
      </c>
      <c r="J251" s="4">
        <v>0</v>
      </c>
      <c r="K251" s="4">
        <v>0</v>
      </c>
      <c r="L251" s="4">
        <v>8.0129999999999999</v>
      </c>
      <c r="M251" s="4">
        <v>8.0129999999999999</v>
      </c>
      <c r="N251" s="4">
        <v>8.0129999999999999</v>
      </c>
      <c r="O251" s="4">
        <v>8.0129999999999999</v>
      </c>
      <c r="P251" s="4">
        <v>5</v>
      </c>
      <c r="Q251" s="3" t="s">
        <v>26</v>
      </c>
      <c r="R251" s="3">
        <v>0</v>
      </c>
      <c r="S251" s="3">
        <v>0</v>
      </c>
      <c r="T251" s="3">
        <v>20</v>
      </c>
      <c r="U251" s="3">
        <v>52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323.62</v>
      </c>
      <c r="X251" s="4">
        <f>IF(ISERROR(VLOOKUP($U$251,'TAR FIN'!$A$1:$O$85,15,0)),0,VLOOKUP($U$251,'TAR FIN'!$A$1:$O$85,15,0))</f>
        <v>235.76</v>
      </c>
      <c r="Y251" s="4"/>
      <c r="Z251" s="4">
        <f ca="1">('TUSD BE'!$AM$33+'TUSD BF'!$AM$33+'TUSD CVA'!$AM$33)*(1-CUSTOS!$M$38)</f>
        <v>411.34661537566791</v>
      </c>
      <c r="AA251" s="4">
        <f>('TE BE'!$AB$23+'TE BF'!$AB$23+'TE CVA'!$AB$23)*(1-CUSTOS!$M$38)</f>
        <v>174.29557455563423</v>
      </c>
      <c r="AB251" s="4">
        <f t="shared" si="16"/>
        <v>0</v>
      </c>
      <c r="AC251" s="4">
        <f>(L251-M251)*(W251+X251)+($W$158+$X$158-$W$251-$X$251)*(L251)</f>
        <v>611.23164000000065</v>
      </c>
      <c r="AD251" s="4">
        <f t="shared" si="17"/>
        <v>0</v>
      </c>
      <c r="AE251" s="4">
        <f ca="1">(L251-M251)*(Z251+AA251)+($Z$158+$AA$158-$Z$251-$AA$251)*(L251)</f>
        <v>299.53728944167233</v>
      </c>
      <c r="AF251" s="3" t="s">
        <v>610</v>
      </c>
    </row>
    <row r="252" spans="1:32" ht="11.25" customHeight="1" x14ac:dyDescent="0.25">
      <c r="A252" s="3" t="s">
        <v>21</v>
      </c>
      <c r="B252" s="3" t="s">
        <v>40</v>
      </c>
      <c r="C252" s="3" t="s">
        <v>23</v>
      </c>
      <c r="D252" s="3" t="s">
        <v>41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44593</v>
      </c>
      <c r="J252" s="4">
        <v>0</v>
      </c>
      <c r="K252" s="4">
        <v>0</v>
      </c>
      <c r="L252" s="4">
        <v>282.45800000000003</v>
      </c>
      <c r="M252" s="4">
        <v>282.45800000000003</v>
      </c>
      <c r="N252" s="4">
        <v>282.45800000000003</v>
      </c>
      <c r="O252" s="4">
        <v>282.45800000000003</v>
      </c>
      <c r="P252" s="4">
        <v>401</v>
      </c>
      <c r="Q252" s="3" t="s">
        <v>26</v>
      </c>
      <c r="R252" s="3">
        <v>0</v>
      </c>
      <c r="S252" s="3">
        <v>0</v>
      </c>
      <c r="T252" s="3">
        <v>20</v>
      </c>
      <c r="U252" s="3">
        <v>52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323.62</v>
      </c>
      <c r="X252" s="4">
        <f>IF(ISERROR(VLOOKUP($U$252,'TAR FIN'!$A$1:$O$85,15,0)),0,VLOOKUP($U$252,'TAR FIN'!$A$1:$O$85,15,0))</f>
        <v>235.76</v>
      </c>
      <c r="Y252" s="4"/>
      <c r="Z252" s="4">
        <f ca="1">('TUSD BE'!$AM$33+'TUSD BF'!$AM$33+'TUSD CVA'!$AM$33)*(1-CUSTOS!$M$38)</f>
        <v>411.34661537566791</v>
      </c>
      <c r="AA252" s="4">
        <f>('TE BE'!$AB$23+'TE BF'!$AB$23+'TE CVA'!$AB$23)*(1-CUSTOS!$M$38)</f>
        <v>174.29557455563423</v>
      </c>
      <c r="AB252" s="4">
        <f t="shared" si="16"/>
        <v>0</v>
      </c>
      <c r="AC252" s="4">
        <f>(L252-M252)*(W252+X252)+($W$158+$X$158-$W$252-$X$252)*(L252)</f>
        <v>21545.896240000027</v>
      </c>
      <c r="AD252" s="4">
        <f t="shared" si="17"/>
        <v>0</v>
      </c>
      <c r="AE252" s="4">
        <f ca="1">(L252-M252)*(Z252+AA252)+($Z$158+$AA$158-$Z$252-$AA$252)*(L252)</f>
        <v>10558.680107464856</v>
      </c>
      <c r="AF252" s="3" t="s">
        <v>610</v>
      </c>
    </row>
    <row r="253" spans="1:32" ht="11.25" customHeight="1" x14ac:dyDescent="0.25">
      <c r="A253" s="3" t="s">
        <v>28</v>
      </c>
      <c r="B253" s="3" t="s">
        <v>40</v>
      </c>
      <c r="C253" s="3" t="s">
        <v>23</v>
      </c>
      <c r="D253" s="3" t="s">
        <v>41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44593</v>
      </c>
      <c r="J253" s="4">
        <v>0</v>
      </c>
      <c r="K253" s="4">
        <v>0</v>
      </c>
      <c r="L253" s="4">
        <v>5.6319999999999997</v>
      </c>
      <c r="M253" s="4">
        <v>5.6319999999999997</v>
      </c>
      <c r="N253" s="4">
        <v>5.6319999999999997</v>
      </c>
      <c r="O253" s="4">
        <v>5.6319999999999997</v>
      </c>
      <c r="P253" s="4">
        <v>5</v>
      </c>
      <c r="Q253" s="3" t="s">
        <v>26</v>
      </c>
      <c r="R253" s="3">
        <v>0</v>
      </c>
      <c r="S253" s="3">
        <v>0</v>
      </c>
      <c r="T253" s="3">
        <v>20</v>
      </c>
      <c r="U253" s="3">
        <v>52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323.62</v>
      </c>
      <c r="X253" s="4">
        <f>IF(ISERROR(VLOOKUP($U$253,'TAR FIN'!$A$1:$O$85,15,0)),0,VLOOKUP($U$253,'TAR FIN'!$A$1:$O$85,15,0))</f>
        <v>235.76</v>
      </c>
      <c r="Y253" s="4"/>
      <c r="Z253" s="4">
        <f ca="1">('TUSD BE'!$AM$33+'TUSD BF'!$AM$33+'TUSD CVA'!$AM$33)*(1-CUSTOS!$M$38)</f>
        <v>411.34661537566791</v>
      </c>
      <c r="AA253" s="4">
        <f>('TE BE'!$AB$23+'TE BF'!$AB$23+'TE CVA'!$AB$23)*(1-CUSTOS!$M$38)</f>
        <v>174.29557455563423</v>
      </c>
      <c r="AB253" s="4">
        <f t="shared" si="16"/>
        <v>0</v>
      </c>
      <c r="AC253" s="4">
        <f>(L253-M253)*(W253+X253)+($W$158+$X$158-$W$253-$X$253)*(L253)</f>
        <v>429.60896000000048</v>
      </c>
      <c r="AD253" s="4">
        <f t="shared" si="17"/>
        <v>0</v>
      </c>
      <c r="AE253" s="4">
        <f ca="1">(L253-M253)*(Z253+AA253)+($Z$158+$AA$158-$Z$253-$AA$253)*(L253)</f>
        <v>210.53213704424041</v>
      </c>
      <c r="AF253" s="3" t="s">
        <v>610</v>
      </c>
    </row>
    <row r="254" spans="1:32" ht="11.25" customHeight="1" x14ac:dyDescent="0.25">
      <c r="A254" s="3" t="s">
        <v>21</v>
      </c>
      <c r="B254" s="3" t="s">
        <v>40</v>
      </c>
      <c r="C254" s="3" t="s">
        <v>23</v>
      </c>
      <c r="D254" s="3" t="s">
        <v>41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44621</v>
      </c>
      <c r="J254" s="4">
        <v>0</v>
      </c>
      <c r="K254" s="4">
        <v>0</v>
      </c>
      <c r="L254" s="4">
        <v>271.971</v>
      </c>
      <c r="M254" s="4">
        <v>271.971</v>
      </c>
      <c r="N254" s="4">
        <v>271.971</v>
      </c>
      <c r="O254" s="4">
        <v>271.971</v>
      </c>
      <c r="P254" s="4">
        <v>403</v>
      </c>
      <c r="Q254" s="3" t="s">
        <v>26</v>
      </c>
      <c r="R254" s="3">
        <v>0</v>
      </c>
      <c r="S254" s="3">
        <v>0</v>
      </c>
      <c r="T254" s="3">
        <v>20</v>
      </c>
      <c r="U254" s="3">
        <v>52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323.62</v>
      </c>
      <c r="X254" s="4">
        <f>IF(ISERROR(VLOOKUP($U$254,'TAR FIN'!$A$1:$O$85,15,0)),0,VLOOKUP($U$254,'TAR FIN'!$A$1:$O$85,15,0))</f>
        <v>235.76</v>
      </c>
      <c r="Y254" s="4"/>
      <c r="Z254" s="4">
        <f ca="1">('TUSD BE'!$AM$33+'TUSD BF'!$AM$33+'TUSD CVA'!$AM$33)*(1-CUSTOS!$M$38)</f>
        <v>411.34661537566791</v>
      </c>
      <c r="AA254" s="4">
        <f>('TE BE'!$AB$23+'TE BF'!$AB$23+'TE CVA'!$AB$23)*(1-CUSTOS!$M$38)</f>
        <v>174.29557455563423</v>
      </c>
      <c r="AB254" s="4">
        <f t="shared" si="16"/>
        <v>0</v>
      </c>
      <c r="AC254" s="4">
        <f>(L254-M254)*(W254+X254)+($W$158+$X$158-$W$254-$X$254)*(L254)</f>
        <v>20745.947880000025</v>
      </c>
      <c r="AD254" s="4">
        <f t="shared" si="17"/>
        <v>0</v>
      </c>
      <c r="AE254" s="4">
        <f ca="1">(L254-M254)*(Z254+AA254)+($Z$158+$AA$158-$Z$254-$AA$254)*(L254)</f>
        <v>10166.661193902542</v>
      </c>
      <c r="AF254" s="3" t="s">
        <v>610</v>
      </c>
    </row>
    <row r="255" spans="1:32" ht="11.25" customHeight="1" x14ac:dyDescent="0.25">
      <c r="A255" s="3" t="s">
        <v>28</v>
      </c>
      <c r="B255" s="3" t="s">
        <v>40</v>
      </c>
      <c r="C255" s="3" t="s">
        <v>23</v>
      </c>
      <c r="D255" s="3" t="s">
        <v>41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44621</v>
      </c>
      <c r="J255" s="4">
        <v>0</v>
      </c>
      <c r="K255" s="4">
        <v>0</v>
      </c>
      <c r="L255" s="4">
        <v>9.7609999999999992</v>
      </c>
      <c r="M255" s="4">
        <v>9.7609999999999992</v>
      </c>
      <c r="N255" s="4">
        <v>9.7609999999999992</v>
      </c>
      <c r="O255" s="4">
        <v>9.7609999999999992</v>
      </c>
      <c r="P255" s="4">
        <v>5</v>
      </c>
      <c r="Q255" s="3" t="s">
        <v>26</v>
      </c>
      <c r="R255" s="3">
        <v>0</v>
      </c>
      <c r="S255" s="3">
        <v>0</v>
      </c>
      <c r="T255" s="3">
        <v>20</v>
      </c>
      <c r="U255" s="3">
        <v>52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323.62</v>
      </c>
      <c r="X255" s="4">
        <f>IF(ISERROR(VLOOKUP($U$255,'TAR FIN'!$A$1:$O$85,15,0)),0,VLOOKUP($U$255,'TAR FIN'!$A$1:$O$85,15,0))</f>
        <v>235.76</v>
      </c>
      <c r="Y255" s="4"/>
      <c r="Z255" s="4">
        <f ca="1">('TUSD BE'!$AM$33+'TUSD BF'!$AM$33+'TUSD CVA'!$AM$33)*(1-CUSTOS!$M$38)</f>
        <v>411.34661537566791</v>
      </c>
      <c r="AA255" s="4">
        <f>('TE BE'!$AB$23+'TE BF'!$AB$23+'TE CVA'!$AB$23)*(1-CUSTOS!$M$38)</f>
        <v>174.29557455563423</v>
      </c>
      <c r="AB255" s="4">
        <f t="shared" si="16"/>
        <v>0</v>
      </c>
      <c r="AC255" s="4">
        <f>(L255-M255)*(W255+X255)+($W$158+$X$158-$W$255-$X$255)*(L255)</f>
        <v>744.56908000000078</v>
      </c>
      <c r="AD255" s="4">
        <f t="shared" si="17"/>
        <v>0</v>
      </c>
      <c r="AE255" s="4">
        <f ca="1">(L255-M255)*(Z255+AA255)+($Z$158+$AA$158-$Z$255-$AA$255)*(L255)</f>
        <v>364.88000527145431</v>
      </c>
      <c r="AF255" s="3" t="s">
        <v>610</v>
      </c>
    </row>
    <row r="256" spans="1:32" ht="11.25" customHeight="1" x14ac:dyDescent="0.25">
      <c r="A256" s="3" t="s">
        <v>21</v>
      </c>
      <c r="B256" s="3" t="s">
        <v>40</v>
      </c>
      <c r="C256" s="3" t="s">
        <v>23</v>
      </c>
      <c r="D256" s="3" t="s">
        <v>41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44652</v>
      </c>
      <c r="J256" s="4">
        <v>0</v>
      </c>
      <c r="K256" s="4">
        <v>0</v>
      </c>
      <c r="L256" s="4">
        <v>260.178</v>
      </c>
      <c r="M256" s="4">
        <v>260.178</v>
      </c>
      <c r="N256" s="4">
        <v>260.178</v>
      </c>
      <c r="O256" s="4">
        <v>260.178</v>
      </c>
      <c r="P256" s="4">
        <v>401</v>
      </c>
      <c r="Q256" s="3" t="s">
        <v>26</v>
      </c>
      <c r="R256" s="3">
        <v>0</v>
      </c>
      <c r="S256" s="3">
        <v>0</v>
      </c>
      <c r="T256" s="3">
        <v>20</v>
      </c>
      <c r="U256" s="3">
        <v>52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323.62</v>
      </c>
      <c r="X256" s="4">
        <f>IF(ISERROR(VLOOKUP($U$256,'TAR FIN'!$A$1:$O$85,15,0)),0,VLOOKUP($U$256,'TAR FIN'!$A$1:$O$85,15,0))</f>
        <v>235.76</v>
      </c>
      <c r="Y256" s="4"/>
      <c r="Z256" s="4">
        <f ca="1">('TUSD BE'!$AM$33+'TUSD BF'!$AM$33+'TUSD CVA'!$AM$33)*(1-CUSTOS!$M$38)</f>
        <v>411.34661537566791</v>
      </c>
      <c r="AA256" s="4">
        <f>('TE BE'!$AB$23+'TE BF'!$AB$23+'TE CVA'!$AB$23)*(1-CUSTOS!$M$38)</f>
        <v>174.29557455563423</v>
      </c>
      <c r="AB256" s="4">
        <f t="shared" si="16"/>
        <v>0</v>
      </c>
      <c r="AC256" s="4">
        <f>(L256-M256)*(W256+X256)+($W$158+$X$158-$W$256-$X$256)*(L256)</f>
        <v>19846.377840000023</v>
      </c>
      <c r="AD256" s="4">
        <f t="shared" si="17"/>
        <v>0</v>
      </c>
      <c r="AE256" s="4">
        <f ca="1">(L256-M256)*(Z256+AA256)+($Z$158+$AA$158-$Z$256-$AA$256)*(L256)</f>
        <v>9725.8221505497841</v>
      </c>
      <c r="AF256" s="3" t="s">
        <v>610</v>
      </c>
    </row>
    <row r="257" spans="1:32" ht="11.25" customHeight="1" x14ac:dyDescent="0.25">
      <c r="A257" s="3" t="s">
        <v>28</v>
      </c>
      <c r="B257" s="3" t="s">
        <v>40</v>
      </c>
      <c r="C257" s="3" t="s">
        <v>23</v>
      </c>
      <c r="D257" s="3" t="s">
        <v>41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44652</v>
      </c>
      <c r="J257" s="4">
        <v>0</v>
      </c>
      <c r="K257" s="4">
        <v>0</v>
      </c>
      <c r="L257" s="4">
        <v>7.2590000000000003</v>
      </c>
      <c r="M257" s="4">
        <v>7.2590000000000003</v>
      </c>
      <c r="N257" s="4">
        <v>7.2590000000000003</v>
      </c>
      <c r="O257" s="4">
        <v>7.2590000000000003</v>
      </c>
      <c r="P257" s="4">
        <v>5</v>
      </c>
      <c r="Q257" s="3" t="s">
        <v>26</v>
      </c>
      <c r="R257" s="3">
        <v>0</v>
      </c>
      <c r="S257" s="3">
        <v>0</v>
      </c>
      <c r="T257" s="3">
        <v>20</v>
      </c>
      <c r="U257" s="3">
        <v>52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323.62</v>
      </c>
      <c r="X257" s="4">
        <f>IF(ISERROR(VLOOKUP($U$257,'TAR FIN'!$A$1:$O$85,15,0)),0,VLOOKUP($U$257,'TAR FIN'!$A$1:$O$85,15,0))</f>
        <v>235.76</v>
      </c>
      <c r="Y257" s="4"/>
      <c r="Z257" s="4">
        <f ca="1">('TUSD BE'!$AM$33+'TUSD BF'!$AM$33+'TUSD CVA'!$AM$33)*(1-CUSTOS!$M$38)</f>
        <v>411.34661537566791</v>
      </c>
      <c r="AA257" s="4">
        <f>('TE BE'!$AB$23+'TE BF'!$AB$23+'TE CVA'!$AB$23)*(1-CUSTOS!$M$38)</f>
        <v>174.29557455563423</v>
      </c>
      <c r="AB257" s="4">
        <f t="shared" si="16"/>
        <v>0</v>
      </c>
      <c r="AC257" s="4">
        <f>(L257-M257)*(W257+X257)+($W$158+$X$158-$W$257-$X$257)*(L257)</f>
        <v>553.71652000000063</v>
      </c>
      <c r="AD257" s="4">
        <f t="shared" si="17"/>
        <v>0</v>
      </c>
      <c r="AE257" s="4">
        <f ca="1">(L257-M257)*(Z257+AA257)+($Z$158+$AA$158-$Z$257-$AA$257)*(L257)</f>
        <v>271.35170149221261</v>
      </c>
      <c r="AF257" s="3" t="s">
        <v>610</v>
      </c>
    </row>
    <row r="258" spans="1:32" ht="11.25" customHeight="1" x14ac:dyDescent="0.25">
      <c r="A258" s="3" t="s">
        <v>21</v>
      </c>
      <c r="B258" s="3" t="s">
        <v>40</v>
      </c>
      <c r="C258" s="3" t="s">
        <v>23</v>
      </c>
      <c r="D258" s="3" t="s">
        <v>41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44682</v>
      </c>
      <c r="J258" s="4">
        <v>0</v>
      </c>
      <c r="K258" s="4">
        <v>0</v>
      </c>
      <c r="L258" s="4">
        <v>290.74700000000001</v>
      </c>
      <c r="M258" s="4">
        <v>290.74700000000001</v>
      </c>
      <c r="N258" s="4">
        <v>290.74700000000001</v>
      </c>
      <c r="O258" s="4">
        <v>290.74700000000001</v>
      </c>
      <c r="P258" s="4">
        <v>400</v>
      </c>
      <c r="Q258" s="3" t="s">
        <v>26</v>
      </c>
      <c r="R258" s="3">
        <v>0</v>
      </c>
      <c r="S258" s="3">
        <v>0</v>
      </c>
      <c r="T258" s="3">
        <v>20</v>
      </c>
      <c r="U258" s="3">
        <v>52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323.62</v>
      </c>
      <c r="X258" s="4">
        <f>IF(ISERROR(VLOOKUP($U$258,'TAR FIN'!$A$1:$O$85,15,0)),0,VLOOKUP($U$258,'TAR FIN'!$A$1:$O$85,15,0))</f>
        <v>235.76</v>
      </c>
      <c r="Y258" s="4"/>
      <c r="Z258" s="4">
        <f ca="1">('TUSD BE'!$AM$33+'TUSD BF'!$AM$33+'TUSD CVA'!$AM$33)*(1-CUSTOS!$M$38)</f>
        <v>411.34661537566791</v>
      </c>
      <c r="AA258" s="4">
        <f>('TE BE'!$AB$23+'TE BF'!$AB$23+'TE CVA'!$AB$23)*(1-CUSTOS!$M$38)</f>
        <v>174.29557455563423</v>
      </c>
      <c r="AB258" s="4">
        <f t="shared" ref="AB258:AB265" si="18">(J258-K258)*V258</f>
        <v>0</v>
      </c>
      <c r="AC258" s="4">
        <f>(L258-M258)*(W258+X258)+($W$158+$X$158-$W$258-$X$258)*(L258)</f>
        <v>22178.181160000026</v>
      </c>
      <c r="AD258" s="4">
        <f t="shared" ref="AD258:AD265" si="19">(J258-K258)*Y258</f>
        <v>0</v>
      </c>
      <c r="AE258" s="4">
        <f ca="1">(L258-M258)*(Z258+AA258)+($Z$158+$AA$158-$Z$258-$AA$258)*(L258)</f>
        <v>10868.53466782702</v>
      </c>
      <c r="AF258" s="3" t="s">
        <v>610</v>
      </c>
    </row>
    <row r="259" spans="1:32" ht="11.25" customHeight="1" x14ac:dyDescent="0.25">
      <c r="A259" s="3" t="s">
        <v>28</v>
      </c>
      <c r="B259" s="3" t="s">
        <v>40</v>
      </c>
      <c r="C259" s="3" t="s">
        <v>23</v>
      </c>
      <c r="D259" s="3" t="s">
        <v>41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44682</v>
      </c>
      <c r="J259" s="4">
        <v>0</v>
      </c>
      <c r="K259" s="4">
        <v>0</v>
      </c>
      <c r="L259" s="4">
        <v>7.97</v>
      </c>
      <c r="M259" s="4">
        <v>7.97</v>
      </c>
      <c r="N259" s="4">
        <v>7.97</v>
      </c>
      <c r="O259" s="4">
        <v>7.97</v>
      </c>
      <c r="P259" s="4">
        <v>6</v>
      </c>
      <c r="Q259" s="3" t="s">
        <v>26</v>
      </c>
      <c r="R259" s="3">
        <v>0</v>
      </c>
      <c r="S259" s="3">
        <v>0</v>
      </c>
      <c r="T259" s="3">
        <v>20</v>
      </c>
      <c r="U259" s="3">
        <v>52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323.62</v>
      </c>
      <c r="X259" s="4">
        <f>IF(ISERROR(VLOOKUP($U$259,'TAR FIN'!$A$1:$O$85,15,0)),0,VLOOKUP($U$259,'TAR FIN'!$A$1:$O$85,15,0))</f>
        <v>235.76</v>
      </c>
      <c r="Y259" s="4"/>
      <c r="Z259" s="4">
        <f ca="1">('TUSD BE'!$AM$33+'TUSD BF'!$AM$33+'TUSD CVA'!$AM$33)*(1-CUSTOS!$M$38)</f>
        <v>411.34661537566791</v>
      </c>
      <c r="AA259" s="4">
        <f>('TE BE'!$AB$23+'TE BF'!$AB$23+'TE CVA'!$AB$23)*(1-CUSTOS!$M$38)</f>
        <v>174.29557455563423</v>
      </c>
      <c r="AB259" s="4">
        <f t="shared" si="18"/>
        <v>0</v>
      </c>
      <c r="AC259" s="4">
        <f>(L259-M259)*(W259+X259)+($W$158+$X$158-$W$259-$X$259)*(L259)</f>
        <v>607.95160000000067</v>
      </c>
      <c r="AD259" s="4">
        <f t="shared" si="19"/>
        <v>0</v>
      </c>
      <c r="AE259" s="4">
        <f ca="1">(L259-M259)*(Z259+AA259)+($Z$158+$AA$158-$Z$259-$AA$259)*(L259)</f>
        <v>297.9298885373928</v>
      </c>
      <c r="AF259" s="3" t="s">
        <v>610</v>
      </c>
    </row>
    <row r="260" spans="1:32" ht="11.25" customHeight="1" x14ac:dyDescent="0.25">
      <c r="A260" s="3" t="s">
        <v>21</v>
      </c>
      <c r="B260" s="3" t="s">
        <v>40</v>
      </c>
      <c r="C260" s="3" t="s">
        <v>23</v>
      </c>
      <c r="D260" s="3" t="s">
        <v>41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44713</v>
      </c>
      <c r="J260" s="4">
        <v>0</v>
      </c>
      <c r="K260" s="4">
        <v>0</v>
      </c>
      <c r="L260" s="4">
        <v>250.00200000000001</v>
      </c>
      <c r="M260" s="4">
        <v>250.00200000000001</v>
      </c>
      <c r="N260" s="4">
        <v>250.00200000000001</v>
      </c>
      <c r="O260" s="4">
        <v>250.00200000000001</v>
      </c>
      <c r="P260" s="4">
        <v>401</v>
      </c>
      <c r="Q260" s="3" t="s">
        <v>26</v>
      </c>
      <c r="R260" s="3">
        <v>0</v>
      </c>
      <c r="S260" s="3">
        <v>0</v>
      </c>
      <c r="T260" s="3">
        <v>20</v>
      </c>
      <c r="U260" s="3">
        <v>52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323.62</v>
      </c>
      <c r="X260" s="4">
        <f>IF(ISERROR(VLOOKUP($U$260,'TAR FIN'!$A$1:$O$85,15,0)),0,VLOOKUP($U$260,'TAR FIN'!$A$1:$O$85,15,0))</f>
        <v>235.76</v>
      </c>
      <c r="Y260" s="4"/>
      <c r="Z260" s="4">
        <f ca="1">('TUSD BE'!$AM$33+'TUSD BF'!$AM$33+'TUSD CVA'!$AM$33)*(1-CUSTOS!$M$38)</f>
        <v>411.34661537566791</v>
      </c>
      <c r="AA260" s="4">
        <f>('TE BE'!$AB$23+'TE BF'!$AB$23+'TE CVA'!$AB$23)*(1-CUSTOS!$M$38)</f>
        <v>174.29557455563423</v>
      </c>
      <c r="AB260" s="4">
        <f t="shared" si="18"/>
        <v>0</v>
      </c>
      <c r="AC260" s="4">
        <f>(L260-M260)*(W260+X260)+($W$158+$X$158-$W$260-$X$260)*(L260)</f>
        <v>19070.152560000024</v>
      </c>
      <c r="AD260" s="4">
        <f t="shared" si="19"/>
        <v>0</v>
      </c>
      <c r="AE260" s="4">
        <f ca="1">(L260-M260)*(Z260+AA260)+($Z$158+$AA$158-$Z$260-$AA$260)*(L260)</f>
        <v>9345.4288574812144</v>
      </c>
      <c r="AF260" s="3" t="s">
        <v>610</v>
      </c>
    </row>
    <row r="261" spans="1:32" ht="11.25" customHeight="1" x14ac:dyDescent="0.25">
      <c r="A261" s="3" t="s">
        <v>28</v>
      </c>
      <c r="B261" s="3" t="s">
        <v>40</v>
      </c>
      <c r="C261" s="3" t="s">
        <v>23</v>
      </c>
      <c r="D261" s="3" t="s">
        <v>41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44713</v>
      </c>
      <c r="J261" s="4">
        <v>0</v>
      </c>
      <c r="K261" s="4">
        <v>0</v>
      </c>
      <c r="L261" s="4">
        <v>12.179</v>
      </c>
      <c r="M261" s="4">
        <v>12.179</v>
      </c>
      <c r="N261" s="4">
        <v>12.179</v>
      </c>
      <c r="O261" s="4">
        <v>12.179</v>
      </c>
      <c r="P261" s="4">
        <v>8</v>
      </c>
      <c r="Q261" s="3" t="s">
        <v>26</v>
      </c>
      <c r="R261" s="3">
        <v>0</v>
      </c>
      <c r="S261" s="3">
        <v>0</v>
      </c>
      <c r="T261" s="3">
        <v>20</v>
      </c>
      <c r="U261" s="3">
        <v>52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323.62</v>
      </c>
      <c r="X261" s="4">
        <f>IF(ISERROR(VLOOKUP($U$261,'TAR FIN'!$A$1:$O$85,15,0)),0,VLOOKUP($U$261,'TAR FIN'!$A$1:$O$85,15,0))</f>
        <v>235.76</v>
      </c>
      <c r="Y261" s="4"/>
      <c r="Z261" s="4">
        <f ca="1">('TUSD BE'!$AM$33+'TUSD BF'!$AM$33+'TUSD CVA'!$AM$33)*(1-CUSTOS!$M$38)</f>
        <v>411.34661537566791</v>
      </c>
      <c r="AA261" s="4">
        <f>('TE BE'!$AB$23+'TE BF'!$AB$23+'TE CVA'!$AB$23)*(1-CUSTOS!$M$38)</f>
        <v>174.29557455563423</v>
      </c>
      <c r="AB261" s="4">
        <f t="shared" si="18"/>
        <v>0</v>
      </c>
      <c r="AC261" s="4">
        <f>(L261-M261)*(W261+X261)+($W$158+$X$158-$W$261-$X$261)*(L261)</f>
        <v>929.01412000000107</v>
      </c>
      <c r="AD261" s="4">
        <f t="shared" si="19"/>
        <v>0</v>
      </c>
      <c r="AE261" s="4">
        <f ca="1">(L261-M261)*(Z261+AA261)+($Z$158+$AA$158-$Z$261-$AA$261)*(L261)</f>
        <v>455.26827007489425</v>
      </c>
      <c r="AF261" s="3" t="s">
        <v>610</v>
      </c>
    </row>
    <row r="262" spans="1:32" ht="11.25" customHeight="1" x14ac:dyDescent="0.25">
      <c r="A262" s="3" t="s">
        <v>21</v>
      </c>
      <c r="B262" s="3" t="s">
        <v>40</v>
      </c>
      <c r="C262" s="3" t="s">
        <v>23</v>
      </c>
      <c r="D262" s="3" t="s">
        <v>41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44743</v>
      </c>
      <c r="J262" s="4">
        <v>0</v>
      </c>
      <c r="K262" s="4">
        <v>0</v>
      </c>
      <c r="L262" s="4">
        <v>219.17400000000001</v>
      </c>
      <c r="M262" s="4">
        <v>219.17400000000001</v>
      </c>
      <c r="N262" s="4">
        <v>219.17400000000001</v>
      </c>
      <c r="O262" s="4">
        <v>219.17400000000001</v>
      </c>
      <c r="P262" s="4">
        <v>347</v>
      </c>
      <c r="Q262" s="3" t="s">
        <v>26</v>
      </c>
      <c r="R262" s="3">
        <v>0</v>
      </c>
      <c r="S262" s="3">
        <v>0</v>
      </c>
      <c r="T262" s="3">
        <v>20</v>
      </c>
      <c r="U262" s="3">
        <v>52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323.62</v>
      </c>
      <c r="X262" s="4">
        <f>IF(ISERROR(VLOOKUP($U$262,'TAR FIN'!$A$1:$O$85,15,0)),0,VLOOKUP($U$262,'TAR FIN'!$A$1:$O$85,15,0))</f>
        <v>235.76</v>
      </c>
      <c r="Y262" s="4"/>
      <c r="Z262" s="4">
        <f ca="1">('TUSD BE'!$AM$33+'TUSD BF'!$AM$33+'TUSD CVA'!$AM$33)*(1-CUSTOS!$M$38)</f>
        <v>411.34661537566791</v>
      </c>
      <c r="AA262" s="4">
        <f>('TE BE'!$AB$23+'TE BF'!$AB$23+'TE CVA'!$AB$23)*(1-CUSTOS!$M$38)</f>
        <v>174.29557455563423</v>
      </c>
      <c r="AB262" s="4">
        <f t="shared" si="18"/>
        <v>0</v>
      </c>
      <c r="AC262" s="4">
        <f>(L262-M262)*(W262+X262)+($W$158+$X$158-$W$262-$X$262)*(L262)</f>
        <v>16718.592720000019</v>
      </c>
      <c r="AD262" s="4">
        <f t="shared" si="19"/>
        <v>0</v>
      </c>
      <c r="AE262" s="4">
        <f ca="1">(L262-M262)*(Z262+AA262)+($Z$158+$AA$158-$Z$262-$AA$262)*(L262)</f>
        <v>8193.0345533619238</v>
      </c>
      <c r="AF262" s="3" t="s">
        <v>610</v>
      </c>
    </row>
    <row r="263" spans="1:32" ht="11.25" customHeight="1" x14ac:dyDescent="0.25">
      <c r="A263" s="3" t="s">
        <v>28</v>
      </c>
      <c r="B263" s="3" t="s">
        <v>40</v>
      </c>
      <c r="C263" s="3" t="s">
        <v>23</v>
      </c>
      <c r="D263" s="3" t="s">
        <v>41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44743</v>
      </c>
      <c r="J263" s="4">
        <v>0</v>
      </c>
      <c r="K263" s="4">
        <v>0</v>
      </c>
      <c r="L263" s="4">
        <v>10.712999999999999</v>
      </c>
      <c r="M263" s="4">
        <v>10.712999999999999</v>
      </c>
      <c r="N263" s="4">
        <v>10.712999999999999</v>
      </c>
      <c r="O263" s="4">
        <v>10.712999999999999</v>
      </c>
      <c r="P263" s="4">
        <v>8</v>
      </c>
      <c r="Q263" s="3" t="s">
        <v>26</v>
      </c>
      <c r="R263" s="3">
        <v>0</v>
      </c>
      <c r="S263" s="3">
        <v>0</v>
      </c>
      <c r="T263" s="3">
        <v>20</v>
      </c>
      <c r="U263" s="3">
        <v>52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323.62</v>
      </c>
      <c r="X263" s="4">
        <f>IF(ISERROR(VLOOKUP($U$263,'TAR FIN'!$A$1:$O$85,15,0)),0,VLOOKUP($U$263,'TAR FIN'!$A$1:$O$85,15,0))</f>
        <v>235.76</v>
      </c>
      <c r="Y263" s="4"/>
      <c r="Z263" s="4">
        <f ca="1">('TUSD BE'!$AM$33+'TUSD BF'!$AM$33+'TUSD CVA'!$AM$33)*(1-CUSTOS!$M$38)</f>
        <v>411.34661537566791</v>
      </c>
      <c r="AA263" s="4">
        <f>('TE BE'!$AB$23+'TE BF'!$AB$23+'TE CVA'!$AB$23)*(1-CUSTOS!$M$38)</f>
        <v>174.29557455563423</v>
      </c>
      <c r="AB263" s="4">
        <f t="shared" si="18"/>
        <v>0</v>
      </c>
      <c r="AC263" s="4">
        <f>(L263-M263)*(W263+X263)+($W$158+$X$158-$W$263-$X$263)*(L263)</f>
        <v>817.1876400000009</v>
      </c>
      <c r="AD263" s="4">
        <f t="shared" si="19"/>
        <v>0</v>
      </c>
      <c r="AE263" s="4">
        <f ca="1">(L263-M263)*(Z263+AA263)+($Z$158+$AA$158-$Z$263-$AA$263)*(L263)</f>
        <v>400.46711366387564</v>
      </c>
      <c r="AF263" s="3" t="s">
        <v>610</v>
      </c>
    </row>
    <row r="264" spans="1:32" ht="11.25" customHeight="1" x14ac:dyDescent="0.25">
      <c r="A264" s="3" t="s">
        <v>21</v>
      </c>
      <c r="B264" s="3" t="s">
        <v>40</v>
      </c>
      <c r="C264" s="3" t="s">
        <v>23</v>
      </c>
      <c r="D264" s="3" t="s">
        <v>41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224.46</v>
      </c>
      <c r="M264" s="4">
        <v>224.46</v>
      </c>
      <c r="N264" s="4">
        <v>224.46</v>
      </c>
      <c r="O264" s="4">
        <v>224.46</v>
      </c>
      <c r="P264" s="4">
        <v>349</v>
      </c>
      <c r="Q264" s="3" t="s">
        <v>26</v>
      </c>
      <c r="R264" s="3">
        <v>0</v>
      </c>
      <c r="S264" s="3">
        <v>0</v>
      </c>
      <c r="T264" s="3">
        <v>20</v>
      </c>
      <c r="U264" s="3">
        <v>52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323.62</v>
      </c>
      <c r="X264" s="4">
        <f>IF(ISERROR(VLOOKUP($U$264,'TAR FIN'!$A$1:$O$85,15,0)),0,VLOOKUP($U$264,'TAR FIN'!$A$1:$O$85,15,0))</f>
        <v>235.76</v>
      </c>
      <c r="Y264" s="4"/>
      <c r="Z264" s="4">
        <f ca="1">('TUSD BE'!$AM$33+'TUSD BF'!$AM$33+'TUSD CVA'!$AM$33)*(1-CUSTOS!$M$38)</f>
        <v>411.34661537566791</v>
      </c>
      <c r="AA264" s="4">
        <f>('TE BE'!$AB$23+'TE BF'!$AB$23+'TE CVA'!$AB$23)*(1-CUSTOS!$M$38)</f>
        <v>174.29557455563423</v>
      </c>
      <c r="AB264" s="4">
        <f t="shared" si="18"/>
        <v>0</v>
      </c>
      <c r="AC264" s="4">
        <f>(L264-M264)*(W264+X264)+($W$158+$X$158-$W$264-$X$264)*(L264)</f>
        <v>17121.808800000021</v>
      </c>
      <c r="AD264" s="4">
        <f t="shared" si="19"/>
        <v>0</v>
      </c>
      <c r="AE264" s="4">
        <f ca="1">(L264-M264)*(Z264+AA264)+($Z$158+$AA$158-$Z$264-$AA$264)*(L264)</f>
        <v>8390.6327203391702</v>
      </c>
      <c r="AF264" s="3" t="s">
        <v>610</v>
      </c>
    </row>
    <row r="265" spans="1:32" ht="11.25" customHeight="1" x14ac:dyDescent="0.25">
      <c r="A265" s="3" t="s">
        <v>28</v>
      </c>
      <c r="B265" s="3" t="s">
        <v>40</v>
      </c>
      <c r="C265" s="3" t="s">
        <v>23</v>
      </c>
      <c r="D265" s="3" t="s">
        <v>41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44774</v>
      </c>
      <c r="J265" s="4">
        <v>0</v>
      </c>
      <c r="K265" s="4">
        <v>0</v>
      </c>
      <c r="L265" s="4">
        <v>10.497</v>
      </c>
      <c r="M265" s="4">
        <v>10.497</v>
      </c>
      <c r="N265" s="4">
        <v>10.497</v>
      </c>
      <c r="O265" s="4">
        <v>10.497</v>
      </c>
      <c r="P265" s="4">
        <v>9</v>
      </c>
      <c r="Q265" s="3" t="s">
        <v>26</v>
      </c>
      <c r="R265" s="3">
        <v>0</v>
      </c>
      <c r="S265" s="3">
        <v>0</v>
      </c>
      <c r="T265" s="3">
        <v>20</v>
      </c>
      <c r="U265" s="3">
        <v>52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323.62</v>
      </c>
      <c r="X265" s="4">
        <f>IF(ISERROR(VLOOKUP($U$265,'TAR FIN'!$A$1:$O$85,15,0)),0,VLOOKUP($U$265,'TAR FIN'!$A$1:$O$85,15,0))</f>
        <v>235.76</v>
      </c>
      <c r="Y265" s="4"/>
      <c r="Z265" s="4">
        <f ca="1">('TUSD BE'!$AM$33+'TUSD BF'!$AM$33+'TUSD CVA'!$AM$33)*(1-CUSTOS!$M$38)</f>
        <v>411.34661537566791</v>
      </c>
      <c r="AA265" s="4">
        <f>('TE BE'!$AB$23+'TE BF'!$AB$23+'TE CVA'!$AB$23)*(1-CUSTOS!$M$38)</f>
        <v>174.29557455563423</v>
      </c>
      <c r="AB265" s="4">
        <f t="shared" si="18"/>
        <v>0</v>
      </c>
      <c r="AC265" s="4">
        <f>(L265-M265)*(W265+X265)+($W$158+$X$158-$W$265-$X$265)*(L265)</f>
        <v>800.71116000000086</v>
      </c>
      <c r="AD265" s="4">
        <f t="shared" si="19"/>
        <v>0</v>
      </c>
      <c r="AE265" s="4">
        <f ca="1">(L265-M265)*(Z265+AA265)+($Z$158+$AA$158-$Z$265-$AA$265)*(L265)</f>
        <v>392.39272772609939</v>
      </c>
      <c r="AF265" s="3" t="s">
        <v>610</v>
      </c>
    </row>
    <row r="266" spans="1:32" ht="11.25" customHeight="1" x14ac:dyDescent="0.25">
      <c r="A266" s="3" t="s">
        <v>21</v>
      </c>
      <c r="B266" s="3" t="s">
        <v>33</v>
      </c>
      <c r="C266" s="3" t="s">
        <v>23</v>
      </c>
      <c r="D266" s="3" t="s">
        <v>47</v>
      </c>
      <c r="E266" s="3" t="s">
        <v>48</v>
      </c>
      <c r="F266" s="3" t="s">
        <v>25</v>
      </c>
      <c r="G266" s="3" t="s">
        <v>25</v>
      </c>
      <c r="H266" s="3" t="s">
        <v>25</v>
      </c>
      <c r="I266" s="6">
        <v>44440</v>
      </c>
      <c r="J266" s="4">
        <v>0</v>
      </c>
      <c r="K266" s="52">
        <v>0</v>
      </c>
      <c r="L266" s="4">
        <v>17.684000000000001</v>
      </c>
      <c r="M266" s="52">
        <v>17.684000000000001</v>
      </c>
      <c r="N266" s="4">
        <v>17.684000000000001</v>
      </c>
      <c r="O266" s="52">
        <v>17.684000000000001</v>
      </c>
      <c r="P266" s="4">
        <v>5</v>
      </c>
      <c r="Q266" s="3" t="s">
        <v>26</v>
      </c>
      <c r="R266" s="3">
        <v>0</v>
      </c>
      <c r="S266" s="3">
        <v>0</v>
      </c>
      <c r="T266" s="3">
        <v>26</v>
      </c>
      <c r="U266" s="3">
        <v>81</v>
      </c>
      <c r="V266" s="52">
        <f>IF(ISERROR(VLOOKUP($S$266,'TAR FIN'!$A$1:$O$85,15,0)),0,VLOOKUP($S$266,'TAR FIN'!$A$1:$O$85,15,0))</f>
        <v>0</v>
      </c>
      <c r="W266" s="52">
        <f>IF(ISERROR(VLOOKUP($T$266,'TAR FIN'!$A$1:$O$85,15,0)),0,VLOOKUP($T$266,'TAR FIN'!$A$1:$O$85,15,0))*(1-0.06)</f>
        <v>345.685</v>
      </c>
      <c r="X266" s="52">
        <f>IF(ISERROR(VLOOKUP($U$266,'TAR FIN'!$A$1:$O$85,15,0)),0,VLOOKUP($U$266,'TAR FIN'!$A$1:$O$85,15,0))*(1-0.06)</f>
        <v>251.83540000000002</v>
      </c>
      <c r="Y266" s="52"/>
      <c r="Z266" s="52">
        <f ca="1">('TUSD BE'!$AM$48+'TUSD BF'!$AM$48+'TUSD CVA'!$AM$48)*1*(1-0.03)</f>
        <v>424.47469884510417</v>
      </c>
      <c r="AA266" s="52">
        <f>('TE BE'!$AB$38+'TE BF'!$AB$38+'TE CVA'!$AB$38)*1*(1-0.03)</f>
        <v>179.85819927549488</v>
      </c>
      <c r="AB266" s="52">
        <f>(SUBSIDIO!$J$266*SUBSIDIO!$V$266)*(0.06)/(1-0.06)</f>
        <v>0</v>
      </c>
      <c r="AC266" s="52">
        <f>((SUBSIDIO!$L$266*SUBSIDIO!$W$266)+(SUBSIDIO!$N$266*SUBSIDIO!$X$266))*(0.06)/(1-0.06)</f>
        <v>674.4606864000001</v>
      </c>
      <c r="AD266" s="52">
        <f>(SUBSIDIO!$J$266*SUBSIDIO!$Y$266)*(0.03)/(1-0.03)</f>
        <v>0</v>
      </c>
      <c r="AE266" s="52">
        <f ca="1">((SUBSIDIO!$L$266*SUBSIDIO!$Z$266)+(SUBSIDIO!$N$266*SUBSIDIO!$AA$266))*(0.03)/(1-0.03)</f>
        <v>330.526483619526</v>
      </c>
      <c r="AF266" s="3" t="s">
        <v>613</v>
      </c>
    </row>
    <row r="267" spans="1:32" ht="11.25" customHeight="1" x14ac:dyDescent="0.25">
      <c r="A267" s="3" t="s">
        <v>21</v>
      </c>
      <c r="B267" s="3" t="s">
        <v>33</v>
      </c>
      <c r="C267" s="3" t="s">
        <v>23</v>
      </c>
      <c r="D267" s="3" t="s">
        <v>47</v>
      </c>
      <c r="E267" s="3" t="s">
        <v>48</v>
      </c>
      <c r="F267" s="3" t="s">
        <v>25</v>
      </c>
      <c r="G267" s="3" t="s">
        <v>25</v>
      </c>
      <c r="H267" s="3" t="s">
        <v>25</v>
      </c>
      <c r="I267" s="6">
        <v>44470</v>
      </c>
      <c r="J267" s="4">
        <v>0</v>
      </c>
      <c r="K267" s="52">
        <v>0</v>
      </c>
      <c r="L267" s="4">
        <v>15.346</v>
      </c>
      <c r="M267" s="52">
        <v>15.346</v>
      </c>
      <c r="N267" s="4">
        <v>15.346</v>
      </c>
      <c r="O267" s="52">
        <v>15.346</v>
      </c>
      <c r="P267" s="4">
        <v>5</v>
      </c>
      <c r="Q267" s="3" t="s">
        <v>26</v>
      </c>
      <c r="R267" s="3">
        <v>0</v>
      </c>
      <c r="S267" s="3">
        <v>0</v>
      </c>
      <c r="T267" s="3">
        <v>26</v>
      </c>
      <c r="U267" s="3">
        <v>81</v>
      </c>
      <c r="V267" s="52">
        <f>IF(ISERROR(VLOOKUP($S$267,'TAR FIN'!$A$1:$O$85,15,0)),0,VLOOKUP($S$267,'TAR FIN'!$A$1:$O$85,15,0))</f>
        <v>0</v>
      </c>
      <c r="W267" s="52">
        <f>IF(ISERROR(VLOOKUP($T$267,'TAR FIN'!$A$1:$O$85,15,0)),0,VLOOKUP($T$267,'TAR FIN'!$A$1:$O$85,15,0))*(1-0.06)</f>
        <v>345.685</v>
      </c>
      <c r="X267" s="52">
        <f>IF(ISERROR(VLOOKUP($U$267,'TAR FIN'!$A$1:$O$85,15,0)),0,VLOOKUP($U$267,'TAR FIN'!$A$1:$O$85,15,0))*(1-0.06)</f>
        <v>251.83540000000002</v>
      </c>
      <c r="Y267" s="52"/>
      <c r="Z267" s="52">
        <f ca="1">('TUSD BE'!$AM$48+'TUSD BF'!$AM$48+'TUSD CVA'!$AM$48)*1*(1-0.03)</f>
        <v>424.47469884510417</v>
      </c>
      <c r="AA267" s="52">
        <f>('TE BE'!$AB$38+'TE BF'!$AB$38+'TE CVA'!$AB$38)*1*(1-0.03)</f>
        <v>179.85819927549488</v>
      </c>
      <c r="AB267" s="52">
        <f>(SUBSIDIO!$J$267*SUBSIDIO!$V$267)*(0.06)/(1-0.06)</f>
        <v>0</v>
      </c>
      <c r="AC267" s="52">
        <f>((SUBSIDIO!$L$267*SUBSIDIO!$W$267)+(SUBSIDIO!$N$267*SUBSIDIO!$X$267))*(0.06)/(1-0.06)</f>
        <v>585.29030160000002</v>
      </c>
      <c r="AD267" s="52">
        <f>(SUBSIDIO!$J$267*SUBSIDIO!$Y$267)*(0.03)/(1-0.03)</f>
        <v>0</v>
      </c>
      <c r="AE267" s="52">
        <f ca="1">((SUBSIDIO!$L$267*SUBSIDIO!$Z$267)+(SUBSIDIO!$N$267*SUBSIDIO!$AA$267))*(0.03)/(1-0.03)</f>
        <v>286.8276078729499</v>
      </c>
      <c r="AF267" s="3" t="s">
        <v>613</v>
      </c>
    </row>
    <row r="268" spans="1:32" ht="11.25" customHeight="1" x14ac:dyDescent="0.25">
      <c r="A268" s="3" t="s">
        <v>21</v>
      </c>
      <c r="B268" s="3" t="s">
        <v>33</v>
      </c>
      <c r="C268" s="3" t="s">
        <v>23</v>
      </c>
      <c r="D268" s="3" t="s">
        <v>47</v>
      </c>
      <c r="E268" s="3" t="s">
        <v>48</v>
      </c>
      <c r="F268" s="3" t="s">
        <v>25</v>
      </c>
      <c r="G268" s="3" t="s">
        <v>25</v>
      </c>
      <c r="H268" s="3" t="s">
        <v>25</v>
      </c>
      <c r="I268" s="6">
        <v>44501</v>
      </c>
      <c r="J268" s="4">
        <v>0</v>
      </c>
      <c r="K268" s="52">
        <v>0</v>
      </c>
      <c r="L268" s="4">
        <v>14.811</v>
      </c>
      <c r="M268" s="52">
        <v>14.811</v>
      </c>
      <c r="N268" s="4">
        <v>14.811</v>
      </c>
      <c r="O268" s="52">
        <v>14.811</v>
      </c>
      <c r="P268" s="4">
        <v>5</v>
      </c>
      <c r="Q268" s="3" t="s">
        <v>26</v>
      </c>
      <c r="R268" s="3">
        <v>0</v>
      </c>
      <c r="S268" s="3">
        <v>0</v>
      </c>
      <c r="T268" s="3">
        <v>26</v>
      </c>
      <c r="U268" s="3">
        <v>81</v>
      </c>
      <c r="V268" s="52">
        <f>IF(ISERROR(VLOOKUP($S$268,'TAR FIN'!$A$1:$O$85,15,0)),0,VLOOKUP($S$268,'TAR FIN'!$A$1:$O$85,15,0))</f>
        <v>0</v>
      </c>
      <c r="W268" s="52">
        <f>IF(ISERROR(VLOOKUP($T$268,'TAR FIN'!$A$1:$O$85,15,0)),0,VLOOKUP($T$268,'TAR FIN'!$A$1:$O$85,15,0))*(1-0.06)</f>
        <v>345.685</v>
      </c>
      <c r="X268" s="52">
        <f>IF(ISERROR(VLOOKUP($U$268,'TAR FIN'!$A$1:$O$85,15,0)),0,VLOOKUP($U$268,'TAR FIN'!$A$1:$O$85,15,0))*(1-0.06)</f>
        <v>251.83540000000002</v>
      </c>
      <c r="Y268" s="52"/>
      <c r="Z268" s="52">
        <f ca="1">('TUSD BE'!$AM$48+'TUSD BF'!$AM$48+'TUSD CVA'!$AM$48)*1*(1-0.03)</f>
        <v>424.47469884510417</v>
      </c>
      <c r="AA268" s="52">
        <f>('TE BE'!$AB$38+'TE BF'!$AB$38+'TE CVA'!$AB$38)*1*(1-0.03)</f>
        <v>179.85819927549488</v>
      </c>
      <c r="AB268" s="52">
        <f>(SUBSIDIO!$J$268*SUBSIDIO!$V$268)*(0.06)/(1-0.06)</f>
        <v>0</v>
      </c>
      <c r="AC268" s="52">
        <f>((SUBSIDIO!$L$268*SUBSIDIO!$W$268)+(SUBSIDIO!$N$268*SUBSIDIO!$X$268))*(0.06)/(1-0.06)</f>
        <v>564.88561559999994</v>
      </c>
      <c r="AD268" s="52">
        <f>(SUBSIDIO!$J$268*SUBSIDIO!$Y$268)*(0.03)/(1-0.03)</f>
        <v>0</v>
      </c>
      <c r="AE268" s="52">
        <f ca="1">((SUBSIDIO!$L$268*SUBSIDIO!$Z$268)+(SUBSIDIO!$N$268*SUBSIDIO!$AA$268))*(0.03)/(1-0.03)</f>
        <v>276.82807899167608</v>
      </c>
      <c r="AF268" s="3" t="s">
        <v>613</v>
      </c>
    </row>
    <row r="269" spans="1:32" ht="11.25" customHeight="1" x14ac:dyDescent="0.25">
      <c r="A269" s="3" t="s">
        <v>21</v>
      </c>
      <c r="B269" s="3" t="s">
        <v>33</v>
      </c>
      <c r="C269" s="3" t="s">
        <v>23</v>
      </c>
      <c r="D269" s="3" t="s">
        <v>47</v>
      </c>
      <c r="E269" s="3" t="s">
        <v>48</v>
      </c>
      <c r="F269" s="3" t="s">
        <v>25</v>
      </c>
      <c r="G269" s="3" t="s">
        <v>25</v>
      </c>
      <c r="H269" s="3" t="s">
        <v>25</v>
      </c>
      <c r="I269" s="6">
        <v>44531</v>
      </c>
      <c r="J269" s="4">
        <v>0</v>
      </c>
      <c r="K269" s="52">
        <v>0</v>
      </c>
      <c r="L269" s="4">
        <v>16.407</v>
      </c>
      <c r="M269" s="52">
        <v>16.407</v>
      </c>
      <c r="N269" s="4">
        <v>16.407</v>
      </c>
      <c r="O269" s="52">
        <v>16.407</v>
      </c>
      <c r="P269" s="4">
        <v>5</v>
      </c>
      <c r="Q269" s="3" t="s">
        <v>26</v>
      </c>
      <c r="R269" s="3">
        <v>0</v>
      </c>
      <c r="S269" s="3">
        <v>0</v>
      </c>
      <c r="T269" s="3">
        <v>26</v>
      </c>
      <c r="U269" s="3">
        <v>81</v>
      </c>
      <c r="V269" s="52">
        <f>IF(ISERROR(VLOOKUP($S$269,'TAR FIN'!$A$1:$O$85,15,0)),0,VLOOKUP($S$269,'TAR FIN'!$A$1:$O$85,15,0))</f>
        <v>0</v>
      </c>
      <c r="W269" s="52">
        <f>IF(ISERROR(VLOOKUP($T$269,'TAR FIN'!$A$1:$O$85,15,0)),0,VLOOKUP($T$269,'TAR FIN'!$A$1:$O$85,15,0))*(1-0.06)</f>
        <v>345.685</v>
      </c>
      <c r="X269" s="52">
        <f>IF(ISERROR(VLOOKUP($U$269,'TAR FIN'!$A$1:$O$85,15,0)),0,VLOOKUP($U$269,'TAR FIN'!$A$1:$O$85,15,0))*(1-0.06)</f>
        <v>251.83540000000002</v>
      </c>
      <c r="Y269" s="52"/>
      <c r="Z269" s="52">
        <f ca="1">('TUSD BE'!$AM$48+'TUSD BF'!$AM$48+'TUSD CVA'!$AM$48)*1*(1-0.03)</f>
        <v>424.47469884510417</v>
      </c>
      <c r="AA269" s="52">
        <f>('TE BE'!$AB$38+'TE BF'!$AB$38+'TE CVA'!$AB$38)*1*(1-0.03)</f>
        <v>179.85819927549488</v>
      </c>
      <c r="AB269" s="52">
        <f>(SUBSIDIO!$J$269*SUBSIDIO!$V$269)*(0.06)/(1-0.06)</f>
        <v>0</v>
      </c>
      <c r="AC269" s="52">
        <f>((SUBSIDIO!$L$269*SUBSIDIO!$W$269)+(SUBSIDIO!$N$269*SUBSIDIO!$X$269))*(0.06)/(1-0.06)</f>
        <v>625.7564172000001</v>
      </c>
      <c r="AD269" s="52">
        <f>(SUBSIDIO!$J$269*SUBSIDIO!$Y$269)*(0.03)/(1-0.03)</f>
        <v>0</v>
      </c>
      <c r="AE269" s="52">
        <f ca="1">((SUBSIDIO!$L$269*SUBSIDIO!$Z$269)+(SUBSIDIO!$N$269*SUBSIDIO!$AA$269))*(0.03)/(1-0.03)</f>
        <v>306.65844926179392</v>
      </c>
      <c r="AF269" s="3" t="s">
        <v>613</v>
      </c>
    </row>
    <row r="270" spans="1:32" ht="11.25" customHeight="1" x14ac:dyDescent="0.25">
      <c r="A270" s="3" t="s">
        <v>21</v>
      </c>
      <c r="B270" s="3" t="s">
        <v>33</v>
      </c>
      <c r="C270" s="3" t="s">
        <v>23</v>
      </c>
      <c r="D270" s="3" t="s">
        <v>47</v>
      </c>
      <c r="E270" s="3" t="s">
        <v>48</v>
      </c>
      <c r="F270" s="3" t="s">
        <v>25</v>
      </c>
      <c r="G270" s="3" t="s">
        <v>25</v>
      </c>
      <c r="H270" s="3" t="s">
        <v>25</v>
      </c>
      <c r="I270" s="6">
        <v>44562</v>
      </c>
      <c r="J270" s="4">
        <v>0</v>
      </c>
      <c r="K270" s="52">
        <v>0</v>
      </c>
      <c r="L270" s="4">
        <v>16.094000000000001</v>
      </c>
      <c r="M270" s="52">
        <v>16.094000000000001</v>
      </c>
      <c r="N270" s="4">
        <v>16.094000000000001</v>
      </c>
      <c r="O270" s="52">
        <v>16.094000000000001</v>
      </c>
      <c r="P270" s="4">
        <v>5</v>
      </c>
      <c r="Q270" s="3" t="s">
        <v>26</v>
      </c>
      <c r="R270" s="3">
        <v>0</v>
      </c>
      <c r="S270" s="3">
        <v>0</v>
      </c>
      <c r="T270" s="3">
        <v>26</v>
      </c>
      <c r="U270" s="3">
        <v>81</v>
      </c>
      <c r="V270" s="52">
        <f>IF(ISERROR(VLOOKUP($S$270,'TAR FIN'!$A$1:$O$85,15,0)),0,VLOOKUP($S$270,'TAR FIN'!$A$1:$O$85,15,0))</f>
        <v>0</v>
      </c>
      <c r="W270" s="52">
        <f>IF(ISERROR(VLOOKUP($T$270,'TAR FIN'!$A$1:$O$85,15,0)),0,VLOOKUP($T$270,'TAR FIN'!$A$1:$O$85,15,0))*(1-0.06)</f>
        <v>345.685</v>
      </c>
      <c r="X270" s="52">
        <f>IF(ISERROR(VLOOKUP($U$270,'TAR FIN'!$A$1:$O$85,15,0)),0,VLOOKUP($U$270,'TAR FIN'!$A$1:$O$85,15,0))*(1-0.06)</f>
        <v>251.83540000000002</v>
      </c>
      <c r="Y270" s="52"/>
      <c r="Z270" s="52">
        <f ca="1">('TUSD BE'!$AM$48+'TUSD BF'!$AM$48+'TUSD CVA'!$AM$48)*1*(1-0.03)</f>
        <v>424.47469884510417</v>
      </c>
      <c r="AA270" s="52">
        <f>('TE BE'!$AB$38+'TE BF'!$AB$38+'TE CVA'!$AB$38)*1*(1-0.03)</f>
        <v>179.85819927549488</v>
      </c>
      <c r="AB270" s="52">
        <f>(SUBSIDIO!$J$270*SUBSIDIO!$V$270)*(0.06)/(1-0.06)</f>
        <v>0</v>
      </c>
      <c r="AC270" s="52">
        <f>((SUBSIDIO!$L$270*SUBSIDIO!$W$270)+(SUBSIDIO!$N$270*SUBSIDIO!$X$270))*(0.06)/(1-0.06)</f>
        <v>613.81872240000018</v>
      </c>
      <c r="AD270" s="52">
        <f>(SUBSIDIO!$J$270*SUBSIDIO!$Y$270)*(0.03)/(1-0.03)</f>
        <v>0</v>
      </c>
      <c r="AE270" s="52">
        <f ca="1">((SUBSIDIO!$L$270*SUBSIDIO!$Z$270)+(SUBSIDIO!$N$270*SUBSIDIO!$AA$270))*(0.03)/(1-0.03)</f>
        <v>300.808257598544</v>
      </c>
      <c r="AF270" s="3" t="s">
        <v>613</v>
      </c>
    </row>
    <row r="271" spans="1:32" ht="11.25" customHeight="1" x14ac:dyDescent="0.25">
      <c r="A271" s="3" t="s">
        <v>21</v>
      </c>
      <c r="B271" s="3" t="s">
        <v>33</v>
      </c>
      <c r="C271" s="3" t="s">
        <v>23</v>
      </c>
      <c r="D271" s="3" t="s">
        <v>47</v>
      </c>
      <c r="E271" s="3" t="s">
        <v>48</v>
      </c>
      <c r="F271" s="3" t="s">
        <v>25</v>
      </c>
      <c r="G271" s="3" t="s">
        <v>25</v>
      </c>
      <c r="H271" s="3" t="s">
        <v>25</v>
      </c>
      <c r="I271" s="6">
        <v>44593</v>
      </c>
      <c r="J271" s="4">
        <v>0</v>
      </c>
      <c r="K271" s="52">
        <v>0</v>
      </c>
      <c r="L271" s="4">
        <v>17.323</v>
      </c>
      <c r="M271" s="52">
        <v>17.323</v>
      </c>
      <c r="N271" s="4">
        <v>17.323</v>
      </c>
      <c r="O271" s="52">
        <v>17.323</v>
      </c>
      <c r="P271" s="4">
        <v>5</v>
      </c>
      <c r="Q271" s="3" t="s">
        <v>26</v>
      </c>
      <c r="R271" s="3">
        <v>0</v>
      </c>
      <c r="S271" s="3">
        <v>0</v>
      </c>
      <c r="T271" s="3">
        <v>26</v>
      </c>
      <c r="U271" s="3">
        <v>81</v>
      </c>
      <c r="V271" s="52">
        <f>IF(ISERROR(VLOOKUP($S$271,'TAR FIN'!$A$1:$O$85,15,0)),0,VLOOKUP($S$271,'TAR FIN'!$A$1:$O$85,15,0))</f>
        <v>0</v>
      </c>
      <c r="W271" s="52">
        <f>IF(ISERROR(VLOOKUP($T$271,'TAR FIN'!$A$1:$O$85,15,0)),0,VLOOKUP($T$271,'TAR FIN'!$A$1:$O$85,15,0))*(1-0.06)</f>
        <v>345.685</v>
      </c>
      <c r="X271" s="52">
        <f>IF(ISERROR(VLOOKUP($U$271,'TAR FIN'!$A$1:$O$85,15,0)),0,VLOOKUP($U$271,'TAR FIN'!$A$1:$O$85,15,0))*(1-0.06)</f>
        <v>251.83540000000002</v>
      </c>
      <c r="Y271" s="52"/>
      <c r="Z271" s="52">
        <f ca="1">('TUSD BE'!$AM$48+'TUSD BF'!$AM$48+'TUSD CVA'!$AM$48)*1*(1-0.03)</f>
        <v>424.47469884510417</v>
      </c>
      <c r="AA271" s="52">
        <f>('TE BE'!$AB$38+'TE BF'!$AB$38+'TE CVA'!$AB$38)*1*(1-0.03)</f>
        <v>179.85819927549488</v>
      </c>
      <c r="AB271" s="52">
        <f>(SUBSIDIO!$J$271*SUBSIDIO!$V$271)*(0.06)/(1-0.06)</f>
        <v>0</v>
      </c>
      <c r="AC271" s="52">
        <f>((SUBSIDIO!$L$271*SUBSIDIO!$W$271)+(SUBSIDIO!$N$271*SUBSIDIO!$X$271))*(0.06)/(1-0.06)</f>
        <v>660.69229080000014</v>
      </c>
      <c r="AD271" s="52">
        <f>(SUBSIDIO!$J$271*SUBSIDIO!$Y$271)*(0.03)/(1-0.03)</f>
        <v>0</v>
      </c>
      <c r="AE271" s="52">
        <f ca="1">((SUBSIDIO!$L$271*SUBSIDIO!$Z$271)+(SUBSIDIO!$N$271*SUBSIDIO!$AA$271))*(0.03)/(1-0.03)</f>
        <v>323.77913796318984</v>
      </c>
      <c r="AF271" s="3" t="s">
        <v>613</v>
      </c>
    </row>
    <row r="272" spans="1:32" ht="11.25" customHeight="1" x14ac:dyDescent="0.25">
      <c r="A272" s="3" t="s">
        <v>21</v>
      </c>
      <c r="B272" s="3" t="s">
        <v>33</v>
      </c>
      <c r="C272" s="3" t="s">
        <v>23</v>
      </c>
      <c r="D272" s="3" t="s">
        <v>47</v>
      </c>
      <c r="E272" s="3" t="s">
        <v>48</v>
      </c>
      <c r="F272" s="3" t="s">
        <v>25</v>
      </c>
      <c r="G272" s="3" t="s">
        <v>25</v>
      </c>
      <c r="H272" s="3" t="s">
        <v>25</v>
      </c>
      <c r="I272" s="6">
        <v>44621</v>
      </c>
      <c r="J272" s="4">
        <v>0</v>
      </c>
      <c r="K272" s="52">
        <v>0</v>
      </c>
      <c r="L272" s="4">
        <v>17.771999999999998</v>
      </c>
      <c r="M272" s="52">
        <v>17.771999999999998</v>
      </c>
      <c r="N272" s="4">
        <v>17.771999999999998</v>
      </c>
      <c r="O272" s="52">
        <v>17.771999999999998</v>
      </c>
      <c r="P272" s="4">
        <v>5</v>
      </c>
      <c r="Q272" s="3" t="s">
        <v>26</v>
      </c>
      <c r="R272" s="3">
        <v>0</v>
      </c>
      <c r="S272" s="3">
        <v>0</v>
      </c>
      <c r="T272" s="3">
        <v>26</v>
      </c>
      <c r="U272" s="3">
        <v>81</v>
      </c>
      <c r="V272" s="52">
        <f>IF(ISERROR(VLOOKUP($S$272,'TAR FIN'!$A$1:$O$85,15,0)),0,VLOOKUP($S$272,'TAR FIN'!$A$1:$O$85,15,0))</f>
        <v>0</v>
      </c>
      <c r="W272" s="52">
        <f>IF(ISERROR(VLOOKUP($T$272,'TAR FIN'!$A$1:$O$85,15,0)),0,VLOOKUP($T$272,'TAR FIN'!$A$1:$O$85,15,0))*(1-0.06)</f>
        <v>345.685</v>
      </c>
      <c r="X272" s="52">
        <f>IF(ISERROR(VLOOKUP($U$272,'TAR FIN'!$A$1:$O$85,15,0)),0,VLOOKUP($U$272,'TAR FIN'!$A$1:$O$85,15,0))*(1-0.06)</f>
        <v>251.83540000000002</v>
      </c>
      <c r="Y272" s="52"/>
      <c r="Z272" s="52">
        <f ca="1">('TUSD BE'!$AM$48+'TUSD BF'!$AM$48+'TUSD CVA'!$AM$48)*1*(1-0.03)</f>
        <v>424.47469884510417</v>
      </c>
      <c r="AA272" s="52">
        <f>('TE BE'!$AB$38+'TE BF'!$AB$38+'TE CVA'!$AB$38)*1*(1-0.03)</f>
        <v>179.85819927549488</v>
      </c>
      <c r="AB272" s="52">
        <f>(SUBSIDIO!$J$272*SUBSIDIO!$V$272)*(0.06)/(1-0.06)</f>
        <v>0</v>
      </c>
      <c r="AC272" s="52">
        <f>((SUBSIDIO!$L$272*SUBSIDIO!$W$272)+(SUBSIDIO!$N$272*SUBSIDIO!$X$272))*(0.06)/(1-0.06)</f>
        <v>677.81697120000001</v>
      </c>
      <c r="AD272" s="52">
        <f>(SUBSIDIO!$J$272*SUBSIDIO!$Y$272)*(0.03)/(1-0.03)</f>
        <v>0</v>
      </c>
      <c r="AE272" s="52">
        <f ca="1">((SUBSIDIO!$L$272*SUBSIDIO!$Z$272)+(SUBSIDIO!$N$272*SUBSIDIO!$AA$272))*(0.03)/(1-0.03)</f>
        <v>332.17126594018407</v>
      </c>
      <c r="AF272" s="3" t="s">
        <v>613</v>
      </c>
    </row>
    <row r="273" spans="1:32" ht="11.25" customHeight="1" x14ac:dyDescent="0.25">
      <c r="A273" s="3" t="s">
        <v>21</v>
      </c>
      <c r="B273" s="3" t="s">
        <v>33</v>
      </c>
      <c r="C273" s="3" t="s">
        <v>23</v>
      </c>
      <c r="D273" s="3" t="s">
        <v>47</v>
      </c>
      <c r="E273" s="3" t="s">
        <v>48</v>
      </c>
      <c r="F273" s="3" t="s">
        <v>25</v>
      </c>
      <c r="G273" s="3" t="s">
        <v>25</v>
      </c>
      <c r="H273" s="3" t="s">
        <v>25</v>
      </c>
      <c r="I273" s="6">
        <v>44652</v>
      </c>
      <c r="J273" s="4">
        <v>0</v>
      </c>
      <c r="K273" s="52">
        <v>0</v>
      </c>
      <c r="L273" s="4">
        <v>15.797000000000001</v>
      </c>
      <c r="M273" s="52">
        <v>15.797000000000001</v>
      </c>
      <c r="N273" s="4">
        <v>15.797000000000001</v>
      </c>
      <c r="O273" s="52">
        <v>15.797000000000001</v>
      </c>
      <c r="P273" s="4">
        <v>5</v>
      </c>
      <c r="Q273" s="3" t="s">
        <v>26</v>
      </c>
      <c r="R273" s="3">
        <v>0</v>
      </c>
      <c r="S273" s="3">
        <v>0</v>
      </c>
      <c r="T273" s="3">
        <v>26</v>
      </c>
      <c r="U273" s="3">
        <v>81</v>
      </c>
      <c r="V273" s="52">
        <f>IF(ISERROR(VLOOKUP($S$273,'TAR FIN'!$A$1:$O$85,15,0)),0,VLOOKUP($S$273,'TAR FIN'!$A$1:$O$85,15,0))</f>
        <v>0</v>
      </c>
      <c r="W273" s="52">
        <f>IF(ISERROR(VLOOKUP($T$273,'TAR FIN'!$A$1:$O$85,15,0)),0,VLOOKUP($T$273,'TAR FIN'!$A$1:$O$85,15,0))*(1-0.06)</f>
        <v>345.685</v>
      </c>
      <c r="X273" s="52">
        <f>IF(ISERROR(VLOOKUP($U$273,'TAR FIN'!$A$1:$O$85,15,0)),0,VLOOKUP($U$273,'TAR FIN'!$A$1:$O$85,15,0))*(1-0.06)</f>
        <v>251.83540000000002</v>
      </c>
      <c r="Y273" s="52"/>
      <c r="Z273" s="52">
        <f ca="1">('TUSD BE'!$AM$48+'TUSD BF'!$AM$48+'TUSD CVA'!$AM$48)*1*(1-0.03)</f>
        <v>424.47469884510417</v>
      </c>
      <c r="AA273" s="52">
        <f>('TE BE'!$AB$38+'TE BF'!$AB$38+'TE CVA'!$AB$38)*1*(1-0.03)</f>
        <v>179.85819927549488</v>
      </c>
      <c r="AB273" s="52">
        <f>(SUBSIDIO!$J$273*SUBSIDIO!$V$273)*(0.06)/(1-0.06)</f>
        <v>0</v>
      </c>
      <c r="AC273" s="52">
        <f>((SUBSIDIO!$L$273*SUBSIDIO!$W$273)+(SUBSIDIO!$N$273*SUBSIDIO!$X$273))*(0.06)/(1-0.06)</f>
        <v>602.49126120000005</v>
      </c>
      <c r="AD273" s="52">
        <f>(SUBSIDIO!$J$273*SUBSIDIO!$Y$273)*(0.03)/(1-0.03)</f>
        <v>0</v>
      </c>
      <c r="AE273" s="52">
        <f ca="1">((SUBSIDIO!$L$273*SUBSIDIO!$Z$273)+(SUBSIDIO!$N$273*SUBSIDIO!$AA$273))*(0.03)/(1-0.03)</f>
        <v>295.25711726632278</v>
      </c>
      <c r="AF273" s="3" t="s">
        <v>613</v>
      </c>
    </row>
    <row r="274" spans="1:32" ht="11.25" customHeight="1" x14ac:dyDescent="0.25">
      <c r="A274" s="3" t="s">
        <v>21</v>
      </c>
      <c r="B274" s="3" t="s">
        <v>33</v>
      </c>
      <c r="C274" s="3" t="s">
        <v>23</v>
      </c>
      <c r="D274" s="3" t="s">
        <v>47</v>
      </c>
      <c r="E274" s="3" t="s">
        <v>48</v>
      </c>
      <c r="F274" s="3" t="s">
        <v>25</v>
      </c>
      <c r="G274" s="3" t="s">
        <v>25</v>
      </c>
      <c r="H274" s="3" t="s">
        <v>25</v>
      </c>
      <c r="I274" s="6">
        <v>44682</v>
      </c>
      <c r="J274" s="4">
        <v>0</v>
      </c>
      <c r="K274" s="52">
        <v>0</v>
      </c>
      <c r="L274" s="4">
        <v>16.427</v>
      </c>
      <c r="M274" s="52">
        <v>16.427</v>
      </c>
      <c r="N274" s="4">
        <v>16.427</v>
      </c>
      <c r="O274" s="52">
        <v>16.427</v>
      </c>
      <c r="P274" s="4">
        <v>5</v>
      </c>
      <c r="Q274" s="3" t="s">
        <v>26</v>
      </c>
      <c r="R274" s="3">
        <v>0</v>
      </c>
      <c r="S274" s="3">
        <v>0</v>
      </c>
      <c r="T274" s="3">
        <v>26</v>
      </c>
      <c r="U274" s="3">
        <v>81</v>
      </c>
      <c r="V274" s="52">
        <f>IF(ISERROR(VLOOKUP($S$274,'TAR FIN'!$A$1:$O$85,15,0)),0,VLOOKUP($S$274,'TAR FIN'!$A$1:$O$85,15,0))</f>
        <v>0</v>
      </c>
      <c r="W274" s="52">
        <f>IF(ISERROR(VLOOKUP($T$274,'TAR FIN'!$A$1:$O$85,15,0)),0,VLOOKUP($T$274,'TAR FIN'!$A$1:$O$85,15,0))*(1-0.06)</f>
        <v>345.685</v>
      </c>
      <c r="X274" s="52">
        <f>IF(ISERROR(VLOOKUP($U$274,'TAR FIN'!$A$1:$O$85,15,0)),0,VLOOKUP($U$274,'TAR FIN'!$A$1:$O$85,15,0))*(1-0.06)</f>
        <v>251.83540000000002</v>
      </c>
      <c r="Y274" s="52"/>
      <c r="Z274" s="52">
        <f ca="1">('TUSD BE'!$AM$48+'TUSD BF'!$AM$48+'TUSD CVA'!$AM$48)*1*(1-0.03)</f>
        <v>424.47469884510417</v>
      </c>
      <c r="AA274" s="52">
        <f>('TE BE'!$AB$38+'TE BF'!$AB$38+'TE CVA'!$AB$38)*1*(1-0.03)</f>
        <v>179.85819927549488</v>
      </c>
      <c r="AB274" s="52">
        <f>(SUBSIDIO!$J$274*SUBSIDIO!$V$274)*(0.06)/(1-0.06)</f>
        <v>0</v>
      </c>
      <c r="AC274" s="52">
        <f>((SUBSIDIO!$L$274*SUBSIDIO!$W$274)+(SUBSIDIO!$N$274*SUBSIDIO!$X$274))*(0.06)/(1-0.06)</f>
        <v>626.51920920000009</v>
      </c>
      <c r="AD274" s="52">
        <f>(SUBSIDIO!$J$274*SUBSIDIO!$Y$274)*(0.03)/(1-0.03)</f>
        <v>0</v>
      </c>
      <c r="AE274" s="52">
        <f ca="1">((SUBSIDIO!$L$274*SUBSIDIO!$Z$274)+(SUBSIDIO!$N$274*SUBSIDIO!$AA$274))*(0.03)/(1-0.03)</f>
        <v>307.0322634255798</v>
      </c>
      <c r="AF274" s="3" t="s">
        <v>613</v>
      </c>
    </row>
    <row r="275" spans="1:32" ht="11.25" customHeight="1" x14ac:dyDescent="0.25">
      <c r="A275" s="3" t="s">
        <v>21</v>
      </c>
      <c r="B275" s="3" t="s">
        <v>33</v>
      </c>
      <c r="C275" s="3" t="s">
        <v>23</v>
      </c>
      <c r="D275" s="3" t="s">
        <v>47</v>
      </c>
      <c r="E275" s="3" t="s">
        <v>48</v>
      </c>
      <c r="F275" s="3" t="s">
        <v>25</v>
      </c>
      <c r="G275" s="3" t="s">
        <v>25</v>
      </c>
      <c r="H275" s="3" t="s">
        <v>25</v>
      </c>
      <c r="I275" s="6">
        <v>44713</v>
      </c>
      <c r="J275" s="4">
        <v>0</v>
      </c>
      <c r="K275" s="52">
        <v>0</v>
      </c>
      <c r="L275" s="4">
        <v>17.219000000000001</v>
      </c>
      <c r="M275" s="52">
        <v>17.219000000000001</v>
      </c>
      <c r="N275" s="4">
        <v>17.219000000000001</v>
      </c>
      <c r="O275" s="52">
        <v>17.219000000000001</v>
      </c>
      <c r="P275" s="4">
        <v>5</v>
      </c>
      <c r="Q275" s="3" t="s">
        <v>26</v>
      </c>
      <c r="R275" s="3">
        <v>0</v>
      </c>
      <c r="S275" s="3">
        <v>0</v>
      </c>
      <c r="T275" s="3">
        <v>26</v>
      </c>
      <c r="U275" s="3">
        <v>81</v>
      </c>
      <c r="V275" s="52">
        <f>IF(ISERROR(VLOOKUP($S$275,'TAR FIN'!$A$1:$O$85,15,0)),0,VLOOKUP($S$275,'TAR FIN'!$A$1:$O$85,15,0))</f>
        <v>0</v>
      </c>
      <c r="W275" s="52">
        <f>IF(ISERROR(VLOOKUP($T$275,'TAR FIN'!$A$1:$O$85,15,0)),0,VLOOKUP($T$275,'TAR FIN'!$A$1:$O$85,15,0))*(1-0.06)</f>
        <v>345.685</v>
      </c>
      <c r="X275" s="52">
        <f>IF(ISERROR(VLOOKUP($U$275,'TAR FIN'!$A$1:$O$85,15,0)),0,VLOOKUP($U$275,'TAR FIN'!$A$1:$O$85,15,0))*(1-0.06)</f>
        <v>251.83540000000002</v>
      </c>
      <c r="Y275" s="52"/>
      <c r="Z275" s="52">
        <f ca="1">('TUSD BE'!$AM$48+'TUSD BF'!$AM$48+'TUSD CVA'!$AM$48)*1*(1-0.03)</f>
        <v>424.47469884510417</v>
      </c>
      <c r="AA275" s="52">
        <f>('TE BE'!$AB$38+'TE BF'!$AB$38+'TE CVA'!$AB$38)*1*(1-0.03)</f>
        <v>179.85819927549488</v>
      </c>
      <c r="AB275" s="52">
        <f>(SUBSIDIO!$J$275*SUBSIDIO!$V$275)*(0.06)/(1-0.06)</f>
        <v>0</v>
      </c>
      <c r="AC275" s="52">
        <f>((SUBSIDIO!$L$275*SUBSIDIO!$W$275)+(SUBSIDIO!$N$275*SUBSIDIO!$X$275))*(0.06)/(1-0.06)</f>
        <v>656.7257724000001</v>
      </c>
      <c r="AD275" s="52">
        <f>(SUBSIDIO!$J$275*SUBSIDIO!$Y$275)*(0.03)/(1-0.03)</f>
        <v>0</v>
      </c>
      <c r="AE275" s="52">
        <f ca="1">((SUBSIDIO!$L$275*SUBSIDIO!$Z$275)+(SUBSIDIO!$N$275*SUBSIDIO!$AA$275))*(0.03)/(1-0.03)</f>
        <v>321.83530431150291</v>
      </c>
      <c r="AF275" s="3" t="s">
        <v>613</v>
      </c>
    </row>
    <row r="276" spans="1:32" ht="11.25" customHeight="1" x14ac:dyDescent="0.25">
      <c r="A276" s="3" t="s">
        <v>21</v>
      </c>
      <c r="B276" s="3" t="s">
        <v>33</v>
      </c>
      <c r="C276" s="3" t="s">
        <v>23</v>
      </c>
      <c r="D276" s="3" t="s">
        <v>47</v>
      </c>
      <c r="E276" s="3" t="s">
        <v>48</v>
      </c>
      <c r="F276" s="3" t="s">
        <v>25</v>
      </c>
      <c r="G276" s="3" t="s">
        <v>25</v>
      </c>
      <c r="H276" s="3" t="s">
        <v>25</v>
      </c>
      <c r="I276" s="6">
        <v>44743</v>
      </c>
      <c r="J276" s="4">
        <v>0</v>
      </c>
      <c r="K276" s="52">
        <v>0</v>
      </c>
      <c r="L276" s="4">
        <v>16.811</v>
      </c>
      <c r="M276" s="52">
        <v>16.811</v>
      </c>
      <c r="N276" s="4">
        <v>16.811</v>
      </c>
      <c r="O276" s="52">
        <v>16.811</v>
      </c>
      <c r="P276" s="4">
        <v>5</v>
      </c>
      <c r="Q276" s="3" t="s">
        <v>26</v>
      </c>
      <c r="R276" s="3">
        <v>0</v>
      </c>
      <c r="S276" s="3">
        <v>0</v>
      </c>
      <c r="T276" s="3">
        <v>26</v>
      </c>
      <c r="U276" s="3">
        <v>81</v>
      </c>
      <c r="V276" s="52">
        <f>IF(ISERROR(VLOOKUP($S$276,'TAR FIN'!$A$1:$O$85,15,0)),0,VLOOKUP($S$276,'TAR FIN'!$A$1:$O$85,15,0))</f>
        <v>0</v>
      </c>
      <c r="W276" s="52">
        <f>IF(ISERROR(VLOOKUP($T$276,'TAR FIN'!$A$1:$O$85,15,0)),0,VLOOKUP($T$276,'TAR FIN'!$A$1:$O$85,15,0))*(1-0.06)</f>
        <v>345.685</v>
      </c>
      <c r="X276" s="52">
        <f>IF(ISERROR(VLOOKUP($U$276,'TAR FIN'!$A$1:$O$85,15,0)),0,VLOOKUP($U$276,'TAR FIN'!$A$1:$O$85,15,0))*(1-0.06)</f>
        <v>251.83540000000002</v>
      </c>
      <c r="Y276" s="52"/>
      <c r="Z276" s="52">
        <f ca="1">('TUSD BE'!$AM$48+'TUSD BF'!$AM$48+'TUSD CVA'!$AM$48)*1*(1-0.03)</f>
        <v>424.47469884510417</v>
      </c>
      <c r="AA276" s="52">
        <f>('TE BE'!$AB$38+'TE BF'!$AB$38+'TE CVA'!$AB$38)*1*(1-0.03)</f>
        <v>179.85819927549488</v>
      </c>
      <c r="AB276" s="52">
        <f>(SUBSIDIO!$J$276*SUBSIDIO!$V$276)*(0.06)/(1-0.06)</f>
        <v>0</v>
      </c>
      <c r="AC276" s="52">
        <f>((SUBSIDIO!$L$276*SUBSIDIO!$W$276)+(SUBSIDIO!$N$276*SUBSIDIO!$X$276))*(0.06)/(1-0.06)</f>
        <v>641.1648156</v>
      </c>
      <c r="AD276" s="52">
        <f>(SUBSIDIO!$J$276*SUBSIDIO!$Y$276)*(0.03)/(1-0.03)</f>
        <v>0</v>
      </c>
      <c r="AE276" s="52">
        <f ca="1">((SUBSIDIO!$L$276*SUBSIDIO!$Z$276)+(SUBSIDIO!$N$276*SUBSIDIO!$AA$276))*(0.03)/(1-0.03)</f>
        <v>314.20949537026985</v>
      </c>
      <c r="AF276" s="3" t="s">
        <v>613</v>
      </c>
    </row>
    <row r="277" spans="1:32" ht="11.25" customHeight="1" x14ac:dyDescent="0.25">
      <c r="A277" s="3" t="s">
        <v>21</v>
      </c>
      <c r="B277" s="3" t="s">
        <v>33</v>
      </c>
      <c r="C277" s="3" t="s">
        <v>23</v>
      </c>
      <c r="D277" s="3" t="s">
        <v>47</v>
      </c>
      <c r="E277" s="3" t="s">
        <v>48</v>
      </c>
      <c r="F277" s="3" t="s">
        <v>25</v>
      </c>
      <c r="G277" s="3" t="s">
        <v>25</v>
      </c>
      <c r="H277" s="3" t="s">
        <v>25</v>
      </c>
      <c r="I277" s="6">
        <v>44774</v>
      </c>
      <c r="J277" s="4">
        <v>0</v>
      </c>
      <c r="K277" s="52">
        <v>0</v>
      </c>
      <c r="L277" s="4">
        <v>17.783000000000001</v>
      </c>
      <c r="M277" s="52">
        <v>17.783000000000001</v>
      </c>
      <c r="N277" s="4">
        <v>17.783000000000001</v>
      </c>
      <c r="O277" s="52">
        <v>17.783000000000001</v>
      </c>
      <c r="P277" s="4">
        <v>5</v>
      </c>
      <c r="Q277" s="3" t="s">
        <v>26</v>
      </c>
      <c r="R277" s="3">
        <v>0</v>
      </c>
      <c r="S277" s="3">
        <v>0</v>
      </c>
      <c r="T277" s="3">
        <v>26</v>
      </c>
      <c r="U277" s="3">
        <v>81</v>
      </c>
      <c r="V277" s="52">
        <f>IF(ISERROR(VLOOKUP($S$277,'TAR FIN'!$A$1:$O$85,15,0)),0,VLOOKUP($S$277,'TAR FIN'!$A$1:$O$85,15,0))</f>
        <v>0</v>
      </c>
      <c r="W277" s="52">
        <f>IF(ISERROR(VLOOKUP($T$277,'TAR FIN'!$A$1:$O$85,15,0)),0,VLOOKUP($T$277,'TAR FIN'!$A$1:$O$85,15,0))*(1-0.06)</f>
        <v>345.685</v>
      </c>
      <c r="X277" s="52">
        <f>IF(ISERROR(VLOOKUP($U$277,'TAR FIN'!$A$1:$O$85,15,0)),0,VLOOKUP($U$277,'TAR FIN'!$A$1:$O$85,15,0))*(1-0.06)</f>
        <v>251.83540000000002</v>
      </c>
      <c r="Y277" s="52"/>
      <c r="Z277" s="52">
        <f ca="1">('TUSD BE'!$AM$48+'TUSD BF'!$AM$48+'TUSD CVA'!$AM$48)*1*(1-0.03)</f>
        <v>424.47469884510417</v>
      </c>
      <c r="AA277" s="52">
        <f>('TE BE'!$AB$38+'TE BF'!$AB$38+'TE CVA'!$AB$38)*1*(1-0.03)</f>
        <v>179.85819927549488</v>
      </c>
      <c r="AB277" s="52">
        <f>(SUBSIDIO!$J$277*SUBSIDIO!$V$277)*(0.06)/(1-0.06)</f>
        <v>0</v>
      </c>
      <c r="AC277" s="52">
        <f>((SUBSIDIO!$L$277*SUBSIDIO!$W$277)+(SUBSIDIO!$N$277*SUBSIDIO!$X$277))*(0.06)/(1-0.06)</f>
        <v>678.23650680000014</v>
      </c>
      <c r="AD277" s="52">
        <f>(SUBSIDIO!$J$277*SUBSIDIO!$Y$277)*(0.03)/(1-0.03)</f>
        <v>0</v>
      </c>
      <c r="AE277" s="52">
        <f ca="1">((SUBSIDIO!$L$277*SUBSIDIO!$Z$277)+(SUBSIDIO!$N$277*SUBSIDIO!$AA$277))*(0.03)/(1-0.03)</f>
        <v>332.37686373026645</v>
      </c>
      <c r="AF277" s="3" t="s">
        <v>613</v>
      </c>
    </row>
    <row r="278" spans="1:32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2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2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2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2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2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2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2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2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2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2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B06A-8D4C-4073-864E-019689022BD1}">
  <dimension ref="A1:J547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594</v>
      </c>
      <c r="B1" s="39" t="s">
        <v>595</v>
      </c>
      <c r="C1" s="39" t="s">
        <v>596</v>
      </c>
      <c r="D1" s="39" t="s">
        <v>597</v>
      </c>
      <c r="E1" s="39" t="s">
        <v>598</v>
      </c>
      <c r="F1" s="39" t="s">
        <v>599</v>
      </c>
      <c r="G1" s="39" t="s">
        <v>600</v>
      </c>
      <c r="H1" s="40" t="s">
        <v>601</v>
      </c>
      <c r="I1" s="40" t="s">
        <v>602</v>
      </c>
      <c r="J1" s="40" t="s">
        <v>603</v>
      </c>
    </row>
    <row r="2" spans="1:10" ht="11.25" customHeight="1" x14ac:dyDescent="0.2">
      <c r="A2" s="41" t="s">
        <v>26</v>
      </c>
      <c r="B2" s="39">
        <v>2255622.4391999999</v>
      </c>
      <c r="C2" s="39">
        <v>3055515.8679876938</v>
      </c>
      <c r="D2" s="39">
        <v>6615854.3108251933</v>
      </c>
      <c r="E2" s="39">
        <v>8735892.0980150346</v>
      </c>
      <c r="F2" s="39">
        <v>7464272.1403036015</v>
      </c>
      <c r="G2" s="39">
        <v>5218011.7782366434</v>
      </c>
      <c r="H2" s="40">
        <v>0.32913699694577092</v>
      </c>
      <c r="I2" s="40">
        <v>-0.30093494983097024</v>
      </c>
      <c r="J2" s="40">
        <v>4.1239055425820181E-2</v>
      </c>
    </row>
    <row r="3" spans="1:10" ht="11.25" customHeight="1" x14ac:dyDescent="0.2">
      <c r="A3" s="42" t="s">
        <v>35</v>
      </c>
      <c r="B3" s="39">
        <v>2255622.4391999999</v>
      </c>
      <c r="C3" s="39">
        <v>3055515.8679876938</v>
      </c>
      <c r="D3" s="39">
        <v>1533861.2045151992</v>
      </c>
      <c r="E3" s="39">
        <v>2292079.8587619234</v>
      </c>
      <c r="F3" s="39">
        <v>3750950.1486039995</v>
      </c>
      <c r="G3" s="39">
        <v>2596036.9800293194</v>
      </c>
      <c r="H3" s="40">
        <v>0.4111673857251037</v>
      </c>
      <c r="I3" s="40">
        <v>-0.30789883171454779</v>
      </c>
      <c r="J3" s="40">
        <v>5.3471580755797277E-2</v>
      </c>
    </row>
    <row r="4" spans="1:10" ht="11.25" customHeight="1" x14ac:dyDescent="0.2">
      <c r="A4" s="43" t="s">
        <v>36</v>
      </c>
      <c r="B4" s="39">
        <v>2255622.4391999999</v>
      </c>
      <c r="C4" s="39">
        <v>3055515.8679876938</v>
      </c>
      <c r="D4" s="39">
        <v>1533861.2045151992</v>
      </c>
      <c r="E4" s="39">
        <v>2292079.8587619234</v>
      </c>
      <c r="F4" s="39">
        <v>3750950.1486039995</v>
      </c>
      <c r="G4" s="39">
        <v>2596036.9800293194</v>
      </c>
      <c r="H4" s="40">
        <v>0.4111673857251037</v>
      </c>
      <c r="I4" s="40">
        <v>-0.30789883171454779</v>
      </c>
      <c r="J4" s="40">
        <v>5.3471580755797277E-2</v>
      </c>
    </row>
    <row r="5" spans="1:10" ht="11.25" customHeight="1" x14ac:dyDescent="0.2">
      <c r="A5" s="44" t="s">
        <v>39</v>
      </c>
      <c r="B5" s="39">
        <v>414786.78000000009</v>
      </c>
      <c r="C5" s="39">
        <v>561879.31370776019</v>
      </c>
      <c r="D5" s="39">
        <v>495571.27402000001</v>
      </c>
      <c r="E5" s="39">
        <v>684383.95870173816</v>
      </c>
      <c r="F5" s="39">
        <v>763424.54796000011</v>
      </c>
      <c r="G5" s="39">
        <v>528367.02154090931</v>
      </c>
      <c r="H5" s="40">
        <v>0.36898143198293565</v>
      </c>
      <c r="I5" s="40">
        <v>-0.30789883171454802</v>
      </c>
      <c r="J5" s="40">
        <v>6.0251368278717576E-2</v>
      </c>
    </row>
    <row r="6" spans="1:10" ht="11.25" customHeight="1" x14ac:dyDescent="0.2">
      <c r="A6" s="45" t="s">
        <v>25</v>
      </c>
      <c r="B6" s="39">
        <v>414786.78000000009</v>
      </c>
      <c r="C6" s="39">
        <v>561879.31370776019</v>
      </c>
      <c r="D6" s="39">
        <v>495571.27402000001</v>
      </c>
      <c r="E6" s="39">
        <v>684383.95870173816</v>
      </c>
      <c r="F6" s="39">
        <v>763424.54796000011</v>
      </c>
      <c r="G6" s="39">
        <v>528367.02154090931</v>
      </c>
      <c r="H6" s="40">
        <v>0.36898143198293565</v>
      </c>
      <c r="I6" s="40">
        <v>-0.30789883171454802</v>
      </c>
      <c r="J6" s="40">
        <v>6.0251368278717576E-2</v>
      </c>
    </row>
    <row r="7" spans="1:10" ht="11.25" customHeight="1" x14ac:dyDescent="0.2">
      <c r="A7" s="46" t="s">
        <v>25</v>
      </c>
      <c r="B7" s="39">
        <v>414786.78000000009</v>
      </c>
      <c r="C7" s="39">
        <v>561879.31370776019</v>
      </c>
      <c r="D7" s="39">
        <v>495571.27402000001</v>
      </c>
      <c r="E7" s="39">
        <v>684383.95870173816</v>
      </c>
      <c r="F7" s="39">
        <v>763424.54796000011</v>
      </c>
      <c r="G7" s="39">
        <v>528367.02154090931</v>
      </c>
      <c r="H7" s="40">
        <v>0.36898143198293565</v>
      </c>
      <c r="I7" s="40">
        <v>-0.30789883171454802</v>
      </c>
      <c r="J7" s="40">
        <v>6.0251368278717576E-2</v>
      </c>
    </row>
    <row r="8" spans="1:10" ht="11.25" customHeight="1" x14ac:dyDescent="0.2">
      <c r="A8" s="47" t="s">
        <v>25</v>
      </c>
      <c r="B8" s="39">
        <v>414786.78000000009</v>
      </c>
      <c r="C8" s="39">
        <v>561879.31370776019</v>
      </c>
      <c r="D8" s="39">
        <v>495571.27402000001</v>
      </c>
      <c r="E8" s="39">
        <v>684383.95870173816</v>
      </c>
      <c r="F8" s="39">
        <v>763424.54796000011</v>
      </c>
      <c r="G8" s="39">
        <v>528367.02154090931</v>
      </c>
      <c r="H8" s="40">
        <v>0.36898143198293565</v>
      </c>
      <c r="I8" s="40">
        <v>-0.30789883171454802</v>
      </c>
      <c r="J8" s="40">
        <v>6.0251368278717576E-2</v>
      </c>
    </row>
    <row r="9" spans="1:10" ht="11.25" customHeight="1" x14ac:dyDescent="0.2">
      <c r="A9" s="48" t="s">
        <v>38</v>
      </c>
      <c r="B9" s="39">
        <v>0</v>
      </c>
      <c r="C9" s="39">
        <v>0</v>
      </c>
      <c r="D9" s="39">
        <v>152103.38851999998</v>
      </c>
      <c r="E9" s="39">
        <v>270363.30709530535</v>
      </c>
      <c r="F9" s="39">
        <v>715917.40721000009</v>
      </c>
      <c r="G9" s="39">
        <v>495487.27392593294</v>
      </c>
      <c r="H9" s="40">
        <v>0.77749693630103112</v>
      </c>
      <c r="I9" s="40">
        <v>-0.30789883171454779</v>
      </c>
      <c r="J9" s="40">
        <v>-0.11770480063537792</v>
      </c>
    </row>
    <row r="10" spans="1:10" ht="11.25" customHeight="1" x14ac:dyDescent="0.2">
      <c r="A10" s="49">
        <v>44440</v>
      </c>
      <c r="B10" s="39">
        <v>0</v>
      </c>
      <c r="C10" s="39">
        <v>0</v>
      </c>
      <c r="D10" s="39">
        <v>11433.57732</v>
      </c>
      <c r="E10" s="39">
        <v>20323.14865726095</v>
      </c>
      <c r="F10" s="39">
        <v>53815.349610000005</v>
      </c>
      <c r="G10" s="39">
        <v>37245.666336771072</v>
      </c>
      <c r="H10" s="40">
        <v>0.77749693630103067</v>
      </c>
      <c r="I10" s="40">
        <v>-0.30789883171454757</v>
      </c>
      <c r="J10" s="40">
        <v>-0.11770480063537769</v>
      </c>
    </row>
    <row r="11" spans="1:10" ht="11.25" customHeight="1" x14ac:dyDescent="0.2">
      <c r="A11" s="49">
        <v>44470</v>
      </c>
      <c r="B11" s="39">
        <v>0</v>
      </c>
      <c r="C11" s="39">
        <v>0</v>
      </c>
      <c r="D11" s="39">
        <v>11470.803</v>
      </c>
      <c r="E11" s="39">
        <v>20389.317189412672</v>
      </c>
      <c r="F11" s="39">
        <v>53990.562750000005</v>
      </c>
      <c r="G11" s="39">
        <v>37366.931555664029</v>
      </c>
      <c r="H11" s="40">
        <v>0.77749693630103067</v>
      </c>
      <c r="I11" s="40">
        <v>-0.30789883171454768</v>
      </c>
      <c r="J11" s="40">
        <v>-0.11770480063537792</v>
      </c>
    </row>
    <row r="12" spans="1:10" ht="11.25" customHeight="1" x14ac:dyDescent="0.2">
      <c r="A12" s="49">
        <v>44501</v>
      </c>
      <c r="B12" s="39">
        <v>0</v>
      </c>
      <c r="C12" s="39">
        <v>0</v>
      </c>
      <c r="D12" s="39">
        <v>11852.67928</v>
      </c>
      <c r="E12" s="39">
        <v>21068.101107158709</v>
      </c>
      <c r="F12" s="39">
        <v>55787.970940000007</v>
      </c>
      <c r="G12" s="39">
        <v>38610.919863848874</v>
      </c>
      <c r="H12" s="40">
        <v>0.77749693630103089</v>
      </c>
      <c r="I12" s="40">
        <v>-0.30789883171454757</v>
      </c>
      <c r="J12" s="40">
        <v>-0.1177048006353778</v>
      </c>
    </row>
    <row r="13" spans="1:10" ht="11.25" customHeight="1" x14ac:dyDescent="0.2">
      <c r="A13" s="49">
        <v>44531</v>
      </c>
      <c r="B13" s="39">
        <v>0</v>
      </c>
      <c r="C13" s="39">
        <v>0</v>
      </c>
      <c r="D13" s="39">
        <v>12945.372520000001</v>
      </c>
      <c r="E13" s="39">
        <v>23010.359993575556</v>
      </c>
      <c r="F13" s="39">
        <v>60931.03921000001</v>
      </c>
      <c r="G13" s="39">
        <v>42170.443422087716</v>
      </c>
      <c r="H13" s="40">
        <v>0.77749693630103067</v>
      </c>
      <c r="I13" s="40">
        <v>-0.30789883171454757</v>
      </c>
      <c r="J13" s="40">
        <v>-0.1177048006353778</v>
      </c>
    </row>
    <row r="14" spans="1:10" ht="11.25" customHeight="1" x14ac:dyDescent="0.2">
      <c r="A14" s="49">
        <v>44562</v>
      </c>
      <c r="B14" s="39">
        <v>0</v>
      </c>
      <c r="C14" s="39">
        <v>0</v>
      </c>
      <c r="D14" s="39">
        <v>12515.455759999999</v>
      </c>
      <c r="E14" s="39">
        <v>22246.184269811085</v>
      </c>
      <c r="F14" s="39">
        <v>58907.51498</v>
      </c>
      <c r="G14" s="39">
        <v>40769.959938450789</v>
      </c>
      <c r="H14" s="40">
        <v>0.77749693630103067</v>
      </c>
      <c r="I14" s="40">
        <v>-0.30789883171454757</v>
      </c>
      <c r="J14" s="40">
        <v>-0.11770480063537792</v>
      </c>
    </row>
    <row r="15" spans="1:10" ht="11.25" customHeight="1" x14ac:dyDescent="0.2">
      <c r="A15" s="49">
        <v>44593</v>
      </c>
      <c r="B15" s="39">
        <v>0</v>
      </c>
      <c r="C15" s="39">
        <v>0</v>
      </c>
      <c r="D15" s="39">
        <v>12652.00684</v>
      </c>
      <c r="E15" s="39">
        <v>22488.903396159683</v>
      </c>
      <c r="F15" s="39">
        <v>59550.231070000002</v>
      </c>
      <c r="G15" s="39">
        <v>41214.784495215645</v>
      </c>
      <c r="H15" s="40">
        <v>0.77749693630103067</v>
      </c>
      <c r="I15" s="40">
        <v>-0.30789883171454768</v>
      </c>
      <c r="J15" s="40">
        <v>-0.1177048006353778</v>
      </c>
    </row>
    <row r="16" spans="1:10" ht="11.25" customHeight="1" x14ac:dyDescent="0.2">
      <c r="A16" s="49">
        <v>44621</v>
      </c>
      <c r="B16" s="39">
        <v>0</v>
      </c>
      <c r="C16" s="39">
        <v>0</v>
      </c>
      <c r="D16" s="39">
        <v>15919.78404</v>
      </c>
      <c r="E16" s="39">
        <v>28297.367357674048</v>
      </c>
      <c r="F16" s="39">
        <v>74930.944170000017</v>
      </c>
      <c r="G16" s="39">
        <v>51859.794000789014</v>
      </c>
      <c r="H16" s="40">
        <v>0.77749693630103089</v>
      </c>
      <c r="I16" s="40">
        <v>-0.30789883171454768</v>
      </c>
      <c r="J16" s="40">
        <v>-0.11770480063537803</v>
      </c>
    </row>
    <row r="17" spans="1:10" ht="11.25" customHeight="1" x14ac:dyDescent="0.2">
      <c r="A17" s="49">
        <v>44652</v>
      </c>
      <c r="B17" s="39">
        <v>0</v>
      </c>
      <c r="C17" s="39">
        <v>0</v>
      </c>
      <c r="D17" s="39">
        <v>12753.55212</v>
      </c>
      <c r="E17" s="39">
        <v>22669.399820255516</v>
      </c>
      <c r="F17" s="39">
        <v>60028.182510000006</v>
      </c>
      <c r="G17" s="39">
        <v>41545.575245223365</v>
      </c>
      <c r="H17" s="40">
        <v>0.77749693630103067</v>
      </c>
      <c r="I17" s="40">
        <v>-0.30789883171454757</v>
      </c>
      <c r="J17" s="40">
        <v>-0.1177048006353778</v>
      </c>
    </row>
    <row r="18" spans="1:10" ht="11.25" customHeight="1" x14ac:dyDescent="0.2">
      <c r="A18" s="49">
        <v>44682</v>
      </c>
      <c r="B18" s="39">
        <v>0</v>
      </c>
      <c r="C18" s="39">
        <v>0</v>
      </c>
      <c r="D18" s="39">
        <v>12779.223040000001</v>
      </c>
      <c r="E18" s="39">
        <v>22715.029801907545</v>
      </c>
      <c r="F18" s="39">
        <v>60149.009920000004</v>
      </c>
      <c r="G18" s="39">
        <v>41629.200036845265</v>
      </c>
      <c r="H18" s="40">
        <v>0.77749693630103067</v>
      </c>
      <c r="I18" s="40">
        <v>-0.30789883171454768</v>
      </c>
      <c r="J18" s="40">
        <v>-0.11770480063537792</v>
      </c>
    </row>
    <row r="19" spans="1:10" ht="11.25" customHeight="1" x14ac:dyDescent="0.2">
      <c r="A19" s="49">
        <v>44713</v>
      </c>
      <c r="B19" s="39">
        <v>0</v>
      </c>
      <c r="C19" s="39">
        <v>0</v>
      </c>
      <c r="D19" s="39">
        <v>11389.17972</v>
      </c>
      <c r="E19" s="39">
        <v>20244.232059281832</v>
      </c>
      <c r="F19" s="39">
        <v>53606.379810000006</v>
      </c>
      <c r="G19" s="39">
        <v>37101.038094054689</v>
      </c>
      <c r="H19" s="40">
        <v>0.77749693630103089</v>
      </c>
      <c r="I19" s="40">
        <v>-0.30789883171454768</v>
      </c>
      <c r="J19" s="40">
        <v>-0.11770480063537792</v>
      </c>
    </row>
    <row r="20" spans="1:10" ht="11.25" customHeight="1" x14ac:dyDescent="0.2">
      <c r="A20" s="49">
        <v>44743</v>
      </c>
      <c r="B20" s="39">
        <v>0</v>
      </c>
      <c r="C20" s="39">
        <v>0</v>
      </c>
      <c r="D20" s="39">
        <v>11952.061600000001</v>
      </c>
      <c r="E20" s="39">
        <v>21244.752876481194</v>
      </c>
      <c r="F20" s="39">
        <v>56255.741800000003</v>
      </c>
      <c r="G20" s="39">
        <v>38934.664622544762</v>
      </c>
      <c r="H20" s="40">
        <v>0.77749693630103045</v>
      </c>
      <c r="I20" s="40">
        <v>-0.30789883171454757</v>
      </c>
      <c r="J20" s="40">
        <v>-0.1177048006353778</v>
      </c>
    </row>
    <row r="21" spans="1:10" ht="11.25" customHeight="1" x14ac:dyDescent="0.2">
      <c r="A21" s="49">
        <v>44774</v>
      </c>
      <c r="B21" s="39">
        <v>0</v>
      </c>
      <c r="C21" s="39">
        <v>0</v>
      </c>
      <c r="D21" s="39">
        <v>14439.69328</v>
      </c>
      <c r="E21" s="39">
        <v>25666.510566326582</v>
      </c>
      <c r="F21" s="39">
        <v>67964.480440000014</v>
      </c>
      <c r="G21" s="39">
        <v>47038.296314437779</v>
      </c>
      <c r="H21" s="40">
        <v>0.77749693630103089</v>
      </c>
      <c r="I21" s="40">
        <v>-0.30789883171454768</v>
      </c>
      <c r="J21" s="40">
        <v>-0.11770480063537803</v>
      </c>
    </row>
    <row r="22" spans="1:10" ht="11.25" customHeight="1" x14ac:dyDescent="0.2">
      <c r="A22" s="48" t="s">
        <v>25</v>
      </c>
      <c r="B22" s="39">
        <v>414786.78000000009</v>
      </c>
      <c r="C22" s="39">
        <v>561879.31370776019</v>
      </c>
      <c r="D22" s="39">
        <v>0</v>
      </c>
      <c r="E22" s="39">
        <v>0</v>
      </c>
      <c r="F22" s="39">
        <v>0</v>
      </c>
      <c r="G22" s="39">
        <v>0</v>
      </c>
      <c r="H22" s="40">
        <v>0.35462203908176648</v>
      </c>
      <c r="I22" s="40">
        <v>0</v>
      </c>
      <c r="J22" s="40">
        <v>0.35462203908176648</v>
      </c>
    </row>
    <row r="23" spans="1:10" ht="11.25" customHeight="1" x14ac:dyDescent="0.2">
      <c r="A23" s="49">
        <v>44440</v>
      </c>
      <c r="B23" s="39">
        <v>28483.5</v>
      </c>
      <c r="C23" s="39">
        <v>38584.376850185508</v>
      </c>
      <c r="D23" s="39">
        <v>0</v>
      </c>
      <c r="E23" s="39">
        <v>0</v>
      </c>
      <c r="F23" s="39">
        <v>0</v>
      </c>
      <c r="G23" s="39">
        <v>0</v>
      </c>
      <c r="H23" s="40">
        <v>0.35462203908176693</v>
      </c>
      <c r="I23" s="40">
        <v>0</v>
      </c>
      <c r="J23" s="40">
        <v>0.35462203908176693</v>
      </c>
    </row>
    <row r="24" spans="1:10" ht="11.25" customHeight="1" x14ac:dyDescent="0.2">
      <c r="A24" s="49">
        <v>44470</v>
      </c>
      <c r="B24" s="39">
        <v>30337.72</v>
      </c>
      <c r="C24" s="39">
        <v>41096.144127491702</v>
      </c>
      <c r="D24" s="39">
        <v>0</v>
      </c>
      <c r="E24" s="39">
        <v>0</v>
      </c>
      <c r="F24" s="39">
        <v>0</v>
      </c>
      <c r="G24" s="39">
        <v>0</v>
      </c>
      <c r="H24" s="40">
        <v>0.35462203908176693</v>
      </c>
      <c r="I24" s="40">
        <v>0</v>
      </c>
      <c r="J24" s="40">
        <v>0.35462203908176693</v>
      </c>
    </row>
    <row r="25" spans="1:10" ht="11.25" customHeight="1" x14ac:dyDescent="0.2">
      <c r="A25" s="49">
        <v>44501</v>
      </c>
      <c r="B25" s="39">
        <v>32661.08</v>
      </c>
      <c r="C25" s="39">
        <v>44243.418788212715</v>
      </c>
      <c r="D25" s="39">
        <v>0</v>
      </c>
      <c r="E25" s="39">
        <v>0</v>
      </c>
      <c r="F25" s="39">
        <v>0</v>
      </c>
      <c r="G25" s="39">
        <v>0</v>
      </c>
      <c r="H25" s="40">
        <v>0.35462203908176693</v>
      </c>
      <c r="I25" s="40">
        <v>0</v>
      </c>
      <c r="J25" s="40">
        <v>0.35462203908176693</v>
      </c>
    </row>
    <row r="26" spans="1:10" ht="11.25" customHeight="1" x14ac:dyDescent="0.2">
      <c r="A26" s="49">
        <v>44531</v>
      </c>
      <c r="B26" s="39">
        <v>33107.880000000005</v>
      </c>
      <c r="C26" s="39">
        <v>44848.663915274446</v>
      </c>
      <c r="D26" s="39">
        <v>0</v>
      </c>
      <c r="E26" s="39">
        <v>0</v>
      </c>
      <c r="F26" s="39">
        <v>0</v>
      </c>
      <c r="G26" s="39">
        <v>0</v>
      </c>
      <c r="H26" s="40">
        <v>0.3546220390817667</v>
      </c>
      <c r="I26" s="40">
        <v>0</v>
      </c>
      <c r="J26" s="40">
        <v>0.3546220390817667</v>
      </c>
    </row>
    <row r="27" spans="1:10" ht="11.25" customHeight="1" x14ac:dyDescent="0.2">
      <c r="A27" s="49">
        <v>44562</v>
      </c>
      <c r="B27" s="39">
        <v>34515.299999999996</v>
      </c>
      <c r="C27" s="39">
        <v>46755.186065518908</v>
      </c>
      <c r="D27" s="39">
        <v>0</v>
      </c>
      <c r="E27" s="39">
        <v>0</v>
      </c>
      <c r="F27" s="39">
        <v>0</v>
      </c>
      <c r="G27" s="39">
        <v>0</v>
      </c>
      <c r="H27" s="40">
        <v>0.35462203908176715</v>
      </c>
      <c r="I27" s="40">
        <v>0</v>
      </c>
      <c r="J27" s="40">
        <v>0.35462203908176715</v>
      </c>
    </row>
    <row r="28" spans="1:10" ht="11.25" customHeight="1" x14ac:dyDescent="0.2">
      <c r="A28" s="49">
        <v>44593</v>
      </c>
      <c r="B28" s="39">
        <v>35006.78</v>
      </c>
      <c r="C28" s="39">
        <v>47420.955705286811</v>
      </c>
      <c r="D28" s="39">
        <v>0</v>
      </c>
      <c r="E28" s="39">
        <v>0</v>
      </c>
      <c r="F28" s="39">
        <v>0</v>
      </c>
      <c r="G28" s="39">
        <v>0</v>
      </c>
      <c r="H28" s="40">
        <v>0.3546220390817667</v>
      </c>
      <c r="I28" s="40">
        <v>0</v>
      </c>
      <c r="J28" s="40">
        <v>0.3546220390817667</v>
      </c>
    </row>
    <row r="29" spans="1:10" ht="11.25" customHeight="1" x14ac:dyDescent="0.2">
      <c r="A29" s="49">
        <v>44621</v>
      </c>
      <c r="B29" s="39">
        <v>36682.28</v>
      </c>
      <c r="C29" s="39">
        <v>49690.62493176831</v>
      </c>
      <c r="D29" s="39">
        <v>0</v>
      </c>
      <c r="E29" s="39">
        <v>0</v>
      </c>
      <c r="F29" s="39">
        <v>0</v>
      </c>
      <c r="G29" s="39">
        <v>0</v>
      </c>
      <c r="H29" s="40">
        <v>0.3546220390817667</v>
      </c>
      <c r="I29" s="40">
        <v>0</v>
      </c>
      <c r="J29" s="40">
        <v>0.3546220390817667</v>
      </c>
    </row>
    <row r="30" spans="1:10" ht="11.25" customHeight="1" x14ac:dyDescent="0.2">
      <c r="A30" s="49">
        <v>44652</v>
      </c>
      <c r="B30" s="39">
        <v>35587.619999999995</v>
      </c>
      <c r="C30" s="39">
        <v>48207.774370467065</v>
      </c>
      <c r="D30" s="39">
        <v>0</v>
      </c>
      <c r="E30" s="39">
        <v>0</v>
      </c>
      <c r="F30" s="39">
        <v>0</v>
      </c>
      <c r="G30" s="39">
        <v>0</v>
      </c>
      <c r="H30" s="40">
        <v>0.35462203908176693</v>
      </c>
      <c r="I30" s="40">
        <v>0</v>
      </c>
      <c r="J30" s="40">
        <v>0.35462203908176693</v>
      </c>
    </row>
    <row r="31" spans="1:10" ht="11.25" customHeight="1" x14ac:dyDescent="0.2">
      <c r="A31" s="49">
        <v>44682</v>
      </c>
      <c r="B31" s="39">
        <v>36257.82</v>
      </c>
      <c r="C31" s="39">
        <v>49115.642061059669</v>
      </c>
      <c r="D31" s="39">
        <v>0</v>
      </c>
      <c r="E31" s="39">
        <v>0</v>
      </c>
      <c r="F31" s="39">
        <v>0</v>
      </c>
      <c r="G31" s="39">
        <v>0</v>
      </c>
      <c r="H31" s="40">
        <v>0.35462203908176693</v>
      </c>
      <c r="I31" s="40">
        <v>0</v>
      </c>
      <c r="J31" s="40">
        <v>0.35462203908176693</v>
      </c>
    </row>
    <row r="32" spans="1:10" ht="11.25" customHeight="1" x14ac:dyDescent="0.2">
      <c r="A32" s="49">
        <v>44713</v>
      </c>
      <c r="B32" s="39">
        <v>35609.96</v>
      </c>
      <c r="C32" s="39">
        <v>48238.036626820154</v>
      </c>
      <c r="D32" s="39">
        <v>0</v>
      </c>
      <c r="E32" s="39">
        <v>0</v>
      </c>
      <c r="F32" s="39">
        <v>0</v>
      </c>
      <c r="G32" s="39">
        <v>0</v>
      </c>
      <c r="H32" s="40">
        <v>0.35462203908176693</v>
      </c>
      <c r="I32" s="40">
        <v>0</v>
      </c>
      <c r="J32" s="40">
        <v>0.35462203908176693</v>
      </c>
    </row>
    <row r="33" spans="1:10" ht="11.25" customHeight="1" x14ac:dyDescent="0.2">
      <c r="A33" s="49">
        <v>44743</v>
      </c>
      <c r="B33" s="39">
        <v>37486.519999999997</v>
      </c>
      <c r="C33" s="39">
        <v>50780.06616047943</v>
      </c>
      <c r="D33" s="39">
        <v>0</v>
      </c>
      <c r="E33" s="39">
        <v>0</v>
      </c>
      <c r="F33" s="39">
        <v>0</v>
      </c>
      <c r="G33" s="39">
        <v>0</v>
      </c>
      <c r="H33" s="40">
        <v>0.35462203908176693</v>
      </c>
      <c r="I33" s="40">
        <v>0</v>
      </c>
      <c r="J33" s="40">
        <v>0.35462203908176693</v>
      </c>
    </row>
    <row r="34" spans="1:10" ht="11.25" customHeight="1" x14ac:dyDescent="0.2">
      <c r="A34" s="49">
        <v>44774</v>
      </c>
      <c r="B34" s="39">
        <v>39050.32</v>
      </c>
      <c r="C34" s="39">
        <v>52898.424105195496</v>
      </c>
      <c r="D34" s="39">
        <v>0</v>
      </c>
      <c r="E34" s="39">
        <v>0</v>
      </c>
      <c r="F34" s="39">
        <v>0</v>
      </c>
      <c r="G34" s="39">
        <v>0</v>
      </c>
      <c r="H34" s="40">
        <v>0.3546220390817667</v>
      </c>
      <c r="I34" s="40">
        <v>0</v>
      </c>
      <c r="J34" s="40">
        <v>0.3546220390817667</v>
      </c>
    </row>
    <row r="35" spans="1:10" ht="11.25" customHeight="1" x14ac:dyDescent="0.2">
      <c r="A35" s="48" t="s">
        <v>37</v>
      </c>
      <c r="B35" s="39">
        <v>0</v>
      </c>
      <c r="C35" s="39">
        <v>0</v>
      </c>
      <c r="D35" s="39">
        <v>343467.88550000003</v>
      </c>
      <c r="E35" s="39">
        <v>414020.65160643286</v>
      </c>
      <c r="F35" s="39">
        <v>47507.140750000013</v>
      </c>
      <c r="G35" s="39">
        <v>32879.747614976426</v>
      </c>
      <c r="H35" s="40">
        <v>0.20541299226192966</v>
      </c>
      <c r="I35" s="40">
        <v>-0.30789883171454768</v>
      </c>
      <c r="J35" s="40">
        <v>0.14304078065500025</v>
      </c>
    </row>
    <row r="36" spans="1:10" ht="11.25" customHeight="1" x14ac:dyDescent="0.2">
      <c r="A36" s="49">
        <v>44440</v>
      </c>
      <c r="B36" s="39">
        <v>0</v>
      </c>
      <c r="C36" s="39">
        <v>0</v>
      </c>
      <c r="D36" s="39">
        <v>29094.775740000001</v>
      </c>
      <c r="E36" s="39">
        <v>35071.220683943196</v>
      </c>
      <c r="F36" s="39">
        <v>4024.2761100000007</v>
      </c>
      <c r="G36" s="39">
        <v>2785.2061972342362</v>
      </c>
      <c r="H36" s="40">
        <v>0.20541299226192944</v>
      </c>
      <c r="I36" s="40">
        <v>-0.30789883171454757</v>
      </c>
      <c r="J36" s="40">
        <v>0.14304078065500025</v>
      </c>
    </row>
    <row r="37" spans="1:10" ht="11.25" customHeight="1" x14ac:dyDescent="0.2">
      <c r="A37" s="49">
        <v>44470</v>
      </c>
      <c r="B37" s="39">
        <v>0</v>
      </c>
      <c r="C37" s="39">
        <v>0</v>
      </c>
      <c r="D37" s="39">
        <v>25716.752379999998</v>
      </c>
      <c r="E37" s="39">
        <v>30999.3074376349</v>
      </c>
      <c r="F37" s="39">
        <v>3557.0410700000002</v>
      </c>
      <c r="G37" s="39">
        <v>2461.8322801863355</v>
      </c>
      <c r="H37" s="40">
        <v>0.20541299226192966</v>
      </c>
      <c r="I37" s="40">
        <v>-0.30789883171454768</v>
      </c>
      <c r="J37" s="40">
        <v>0.14304078065500048</v>
      </c>
    </row>
    <row r="38" spans="1:10" ht="11.25" customHeight="1" x14ac:dyDescent="0.2">
      <c r="A38" s="49">
        <v>44501</v>
      </c>
      <c r="B38" s="39">
        <v>0</v>
      </c>
      <c r="C38" s="39">
        <v>0</v>
      </c>
      <c r="D38" s="39">
        <v>25397.157279999999</v>
      </c>
      <c r="E38" s="39">
        <v>30614.06335183165</v>
      </c>
      <c r="F38" s="39">
        <v>3512.8359200000004</v>
      </c>
      <c r="G38" s="39">
        <v>2431.237844227102</v>
      </c>
      <c r="H38" s="40">
        <v>0.20541299226192966</v>
      </c>
      <c r="I38" s="40">
        <v>-0.30789883171454768</v>
      </c>
      <c r="J38" s="40">
        <v>0.14304078065500048</v>
      </c>
    </row>
    <row r="39" spans="1:10" ht="11.25" customHeight="1" x14ac:dyDescent="0.2">
      <c r="A39" s="49">
        <v>44531</v>
      </c>
      <c r="B39" s="39">
        <v>0</v>
      </c>
      <c r="C39" s="39">
        <v>0</v>
      </c>
      <c r="D39" s="39">
        <v>28170.855360000001</v>
      </c>
      <c r="E39" s="39">
        <v>33957.515054075622</v>
      </c>
      <c r="F39" s="39">
        <v>3896.4830400000005</v>
      </c>
      <c r="G39" s="39">
        <v>2696.7604641884514</v>
      </c>
      <c r="H39" s="40">
        <v>0.20541299226192966</v>
      </c>
      <c r="I39" s="40">
        <v>-0.30789883171454768</v>
      </c>
      <c r="J39" s="40">
        <v>0.14304078065500048</v>
      </c>
    </row>
    <row r="40" spans="1:10" ht="11.25" customHeight="1" x14ac:dyDescent="0.2">
      <c r="A40" s="49">
        <v>44562</v>
      </c>
      <c r="B40" s="39">
        <v>0</v>
      </c>
      <c r="C40" s="39">
        <v>0</v>
      </c>
      <c r="D40" s="39">
        <v>26474.09592</v>
      </c>
      <c r="E40" s="39">
        <v>31912.21918035654</v>
      </c>
      <c r="F40" s="39">
        <v>3661.7938800000002</v>
      </c>
      <c r="G40" s="39">
        <v>2534.3318223685196</v>
      </c>
      <c r="H40" s="40">
        <v>0.20541299226192944</v>
      </c>
      <c r="I40" s="40">
        <v>-0.30789883171454768</v>
      </c>
      <c r="J40" s="40">
        <v>0.14304078065500003</v>
      </c>
    </row>
    <row r="41" spans="1:10" ht="11.25" customHeight="1" x14ac:dyDescent="0.2">
      <c r="A41" s="49">
        <v>44593</v>
      </c>
      <c r="B41" s="39">
        <v>0</v>
      </c>
      <c r="C41" s="39">
        <v>0</v>
      </c>
      <c r="D41" s="39">
        <v>27122.970820000002</v>
      </c>
      <c r="E41" s="39">
        <v>32694.381415169202</v>
      </c>
      <c r="F41" s="39">
        <v>3751.5437300000003</v>
      </c>
      <c r="G41" s="39">
        <v>2596.447798406964</v>
      </c>
      <c r="H41" s="40">
        <v>0.20541299226192944</v>
      </c>
      <c r="I41" s="40">
        <v>-0.30789883171454757</v>
      </c>
      <c r="J41" s="40">
        <v>0.14304078065500025</v>
      </c>
    </row>
    <row r="42" spans="1:10" ht="11.25" customHeight="1" x14ac:dyDescent="0.2">
      <c r="A42" s="49">
        <v>44621</v>
      </c>
      <c r="B42" s="39">
        <v>0</v>
      </c>
      <c r="C42" s="39">
        <v>0</v>
      </c>
      <c r="D42" s="39">
        <v>35395.641560000004</v>
      </c>
      <c r="E42" s="39">
        <v>42666.366205870319</v>
      </c>
      <c r="F42" s="39">
        <v>4895.7873400000008</v>
      </c>
      <c r="G42" s="39">
        <v>3388.3801376911279</v>
      </c>
      <c r="H42" s="40">
        <v>0.20541299226192966</v>
      </c>
      <c r="I42" s="40">
        <v>-0.30789883171454757</v>
      </c>
      <c r="J42" s="40">
        <v>0.14304078065500025</v>
      </c>
    </row>
    <row r="43" spans="1:10" ht="11.25" customHeight="1" x14ac:dyDescent="0.2">
      <c r="A43" s="49">
        <v>44652</v>
      </c>
      <c r="B43" s="39">
        <v>0</v>
      </c>
      <c r="C43" s="39">
        <v>0</v>
      </c>
      <c r="D43" s="39">
        <v>25546.301660000001</v>
      </c>
      <c r="E43" s="39">
        <v>30793.8439252065</v>
      </c>
      <c r="F43" s="39">
        <v>3533.4649900000004</v>
      </c>
      <c r="G43" s="39">
        <v>2445.5152476747444</v>
      </c>
      <c r="H43" s="40">
        <v>0.20541299226192966</v>
      </c>
      <c r="I43" s="40">
        <v>-0.30789883171454768</v>
      </c>
      <c r="J43" s="40">
        <v>0.14304078065500025</v>
      </c>
    </row>
    <row r="44" spans="1:10" ht="11.25" customHeight="1" x14ac:dyDescent="0.2">
      <c r="A44" s="49">
        <v>44682</v>
      </c>
      <c r="B44" s="39">
        <v>0</v>
      </c>
      <c r="C44" s="39">
        <v>0</v>
      </c>
      <c r="D44" s="39">
        <v>33662.080260000002</v>
      </c>
      <c r="E44" s="39">
        <v>40576.708891967835</v>
      </c>
      <c r="F44" s="39">
        <v>4656.0078900000008</v>
      </c>
      <c r="G44" s="39">
        <v>3222.4285002152847</v>
      </c>
      <c r="H44" s="40">
        <v>0.20541299226192966</v>
      </c>
      <c r="I44" s="40">
        <v>-0.30789883171454757</v>
      </c>
      <c r="J44" s="40">
        <v>0.14304078065500025</v>
      </c>
    </row>
    <row r="45" spans="1:10" ht="11.25" customHeight="1" x14ac:dyDescent="0.2">
      <c r="A45" s="49">
        <v>44713</v>
      </c>
      <c r="B45" s="39">
        <v>0</v>
      </c>
      <c r="C45" s="39">
        <v>0</v>
      </c>
      <c r="D45" s="39">
        <v>24570.083900000001</v>
      </c>
      <c r="E45" s="39">
        <v>29617.098354025664</v>
      </c>
      <c r="F45" s="39">
        <v>3398.4383500000004</v>
      </c>
      <c r="G45" s="39">
        <v>2352.0631523810853</v>
      </c>
      <c r="H45" s="40">
        <v>0.20541299226192966</v>
      </c>
      <c r="I45" s="40">
        <v>-0.30789883171454768</v>
      </c>
      <c r="J45" s="40">
        <v>0.14304078065500025</v>
      </c>
    </row>
    <row r="46" spans="1:10" ht="11.25" customHeight="1" x14ac:dyDescent="0.2">
      <c r="A46" s="49">
        <v>44743</v>
      </c>
      <c r="B46" s="39">
        <v>0</v>
      </c>
      <c r="C46" s="39">
        <v>0</v>
      </c>
      <c r="D46" s="39">
        <v>28901.081739999998</v>
      </c>
      <c r="E46" s="39">
        <v>34837.739419820013</v>
      </c>
      <c r="F46" s="39">
        <v>3997.4851100000005</v>
      </c>
      <c r="G46" s="39">
        <v>2766.6641148347003</v>
      </c>
      <c r="H46" s="40">
        <v>0.20541299226192966</v>
      </c>
      <c r="I46" s="40">
        <v>-0.30789883171454768</v>
      </c>
      <c r="J46" s="40">
        <v>0.14304078065500025</v>
      </c>
    </row>
    <row r="47" spans="1:10" ht="11.25" customHeight="1" x14ac:dyDescent="0.2">
      <c r="A47" s="49">
        <v>44774</v>
      </c>
      <c r="B47" s="39">
        <v>0</v>
      </c>
      <c r="C47" s="39">
        <v>0</v>
      </c>
      <c r="D47" s="39">
        <v>33416.088880000003</v>
      </c>
      <c r="E47" s="39">
        <v>40280.187686531397</v>
      </c>
      <c r="F47" s="39">
        <v>4621.9833200000003</v>
      </c>
      <c r="G47" s="39">
        <v>3198.8800555678745</v>
      </c>
      <c r="H47" s="40">
        <v>0.20541299226192966</v>
      </c>
      <c r="I47" s="40">
        <v>-0.30789883171454757</v>
      </c>
      <c r="J47" s="40">
        <v>0.14304078065500048</v>
      </c>
    </row>
    <row r="48" spans="1:10" ht="11.25" customHeight="1" x14ac:dyDescent="0.2">
      <c r="A48" s="44" t="s">
        <v>34</v>
      </c>
      <c r="B48" s="39">
        <v>1037603.6399999999</v>
      </c>
      <c r="C48" s="39">
        <v>1405560.7585754634</v>
      </c>
      <c r="D48" s="39">
        <v>535203.69726000004</v>
      </c>
      <c r="E48" s="39">
        <v>856395.99129129504</v>
      </c>
      <c r="F48" s="39">
        <v>1761032.9776600008</v>
      </c>
      <c r="G48" s="39">
        <v>1218812.981227695</v>
      </c>
      <c r="H48" s="40">
        <v>0.4381651816345995</v>
      </c>
      <c r="I48" s="40">
        <v>-0.3078988317145479</v>
      </c>
      <c r="J48" s="40">
        <v>4.4072121726075775E-2</v>
      </c>
    </row>
    <row r="49" spans="1:10" ht="11.25" customHeight="1" x14ac:dyDescent="0.2">
      <c r="A49" s="45" t="s">
        <v>25</v>
      </c>
      <c r="B49" s="39">
        <v>1037603.6399999999</v>
      </c>
      <c r="C49" s="39">
        <v>1405560.7585754634</v>
      </c>
      <c r="D49" s="39">
        <v>535203.69726000004</v>
      </c>
      <c r="E49" s="39">
        <v>856395.99129129504</v>
      </c>
      <c r="F49" s="39">
        <v>1761032.9776600008</v>
      </c>
      <c r="G49" s="39">
        <v>1218812.981227695</v>
      </c>
      <c r="H49" s="40">
        <v>0.4381651816345995</v>
      </c>
      <c r="I49" s="40">
        <v>-0.3078988317145479</v>
      </c>
      <c r="J49" s="40">
        <v>4.4072121726075775E-2</v>
      </c>
    </row>
    <row r="50" spans="1:10" ht="11.25" customHeight="1" x14ac:dyDescent="0.2">
      <c r="A50" s="46" t="s">
        <v>25</v>
      </c>
      <c r="B50" s="39">
        <v>1037603.6399999999</v>
      </c>
      <c r="C50" s="39">
        <v>1405560.7585754634</v>
      </c>
      <c r="D50" s="39">
        <v>535203.69726000004</v>
      </c>
      <c r="E50" s="39">
        <v>856395.99129129504</v>
      </c>
      <c r="F50" s="39">
        <v>1761032.9776600008</v>
      </c>
      <c r="G50" s="39">
        <v>1218812.981227695</v>
      </c>
      <c r="H50" s="40">
        <v>0.4381651816345995</v>
      </c>
      <c r="I50" s="40">
        <v>-0.3078988317145479</v>
      </c>
      <c r="J50" s="40">
        <v>4.4072121726075775E-2</v>
      </c>
    </row>
    <row r="51" spans="1:10" ht="11.25" customHeight="1" x14ac:dyDescent="0.2">
      <c r="A51" s="47" t="s">
        <v>25</v>
      </c>
      <c r="B51" s="39">
        <v>1037603.6399999999</v>
      </c>
      <c r="C51" s="39">
        <v>1405560.7585754634</v>
      </c>
      <c r="D51" s="39">
        <v>535203.69726000004</v>
      </c>
      <c r="E51" s="39">
        <v>856395.99129129504</v>
      </c>
      <c r="F51" s="39">
        <v>1761032.9776600008</v>
      </c>
      <c r="G51" s="39">
        <v>1218812.981227695</v>
      </c>
      <c r="H51" s="40">
        <v>0.4381651816345995</v>
      </c>
      <c r="I51" s="40">
        <v>-0.3078988317145479</v>
      </c>
      <c r="J51" s="40">
        <v>4.4072121726075775E-2</v>
      </c>
    </row>
    <row r="52" spans="1:10" ht="11.25" customHeight="1" x14ac:dyDescent="0.2">
      <c r="A52" s="48" t="s">
        <v>38</v>
      </c>
      <c r="B52" s="39">
        <v>0</v>
      </c>
      <c r="C52" s="39">
        <v>0</v>
      </c>
      <c r="D52" s="39">
        <v>369271.85828000004</v>
      </c>
      <c r="E52" s="39">
        <v>656379.59675488842</v>
      </c>
      <c r="F52" s="39">
        <v>1738081.9316900005</v>
      </c>
      <c r="G52" s="39">
        <v>1202928.535498485</v>
      </c>
      <c r="H52" s="40">
        <v>0.77749693630103045</v>
      </c>
      <c r="I52" s="40">
        <v>-0.30789883171454768</v>
      </c>
      <c r="J52" s="40">
        <v>-0.1177048006353778</v>
      </c>
    </row>
    <row r="53" spans="1:10" ht="11.25" customHeight="1" x14ac:dyDescent="0.2">
      <c r="A53" s="49">
        <v>44440</v>
      </c>
      <c r="B53" s="39">
        <v>0</v>
      </c>
      <c r="C53" s="39">
        <v>0</v>
      </c>
      <c r="D53" s="39">
        <v>31303.210920000001</v>
      </c>
      <c r="E53" s="39">
        <v>55641.361506684974</v>
      </c>
      <c r="F53" s="39">
        <v>147337.37241000001</v>
      </c>
      <c r="G53" s="39">
        <v>101972.36757706979</v>
      </c>
      <c r="H53" s="40">
        <v>0.77749693630103089</v>
      </c>
      <c r="I53" s="40">
        <v>-0.30789883171454757</v>
      </c>
      <c r="J53" s="40">
        <v>-0.11770480063537792</v>
      </c>
    </row>
    <row r="54" spans="1:10" ht="11.25" customHeight="1" x14ac:dyDescent="0.2">
      <c r="A54" s="49">
        <v>44470</v>
      </c>
      <c r="B54" s="39">
        <v>0</v>
      </c>
      <c r="C54" s="39">
        <v>0</v>
      </c>
      <c r="D54" s="39">
        <v>30434.953240000003</v>
      </c>
      <c r="E54" s="39">
        <v>54098.036140565127</v>
      </c>
      <c r="F54" s="39">
        <v>143250.67327000003</v>
      </c>
      <c r="G54" s="39">
        <v>99143.958327844637</v>
      </c>
      <c r="H54" s="40">
        <v>0.77749693630103045</v>
      </c>
      <c r="I54" s="40">
        <v>-0.30789883171454768</v>
      </c>
      <c r="J54" s="40">
        <v>-0.11770480063537792</v>
      </c>
    </row>
    <row r="55" spans="1:10" ht="11.25" customHeight="1" x14ac:dyDescent="0.2">
      <c r="A55" s="49">
        <v>44501</v>
      </c>
      <c r="B55" s="39">
        <v>0</v>
      </c>
      <c r="C55" s="39">
        <v>0</v>
      </c>
      <c r="D55" s="39">
        <v>31122.660680000001</v>
      </c>
      <c r="E55" s="39">
        <v>55320.434008236552</v>
      </c>
      <c r="F55" s="39">
        <v>146487.56189000001</v>
      </c>
      <c r="G55" s="39">
        <v>101384.21272335651</v>
      </c>
      <c r="H55" s="40">
        <v>0.77749693630103067</v>
      </c>
      <c r="I55" s="40">
        <v>-0.30789883171454768</v>
      </c>
      <c r="J55" s="40">
        <v>-0.11770480063537792</v>
      </c>
    </row>
    <row r="56" spans="1:10" ht="11.25" customHeight="1" x14ac:dyDescent="0.2">
      <c r="A56" s="49">
        <v>44531</v>
      </c>
      <c r="B56" s="39">
        <v>0</v>
      </c>
      <c r="C56" s="39">
        <v>0</v>
      </c>
      <c r="D56" s="39">
        <v>25548.883519999999</v>
      </c>
      <c r="E56" s="39">
        <v>45413.062182711896</v>
      </c>
      <c r="F56" s="39">
        <v>120253.01096000001</v>
      </c>
      <c r="G56" s="39">
        <v>83227.249375259315</v>
      </c>
      <c r="H56" s="40">
        <v>0.77749693630103089</v>
      </c>
      <c r="I56" s="40">
        <v>-0.30789883171454768</v>
      </c>
      <c r="J56" s="40">
        <v>-0.11770480063537792</v>
      </c>
    </row>
    <row r="57" spans="1:10" ht="11.25" customHeight="1" x14ac:dyDescent="0.2">
      <c r="A57" s="49">
        <v>44562</v>
      </c>
      <c r="B57" s="39">
        <v>0</v>
      </c>
      <c r="C57" s="39">
        <v>0</v>
      </c>
      <c r="D57" s="39">
        <v>31696.869639999997</v>
      </c>
      <c r="E57" s="39">
        <v>56341.088675433151</v>
      </c>
      <c r="F57" s="39">
        <v>149190.23797000002</v>
      </c>
      <c r="G57" s="39">
        <v>103254.73799582166</v>
      </c>
      <c r="H57" s="40">
        <v>0.77749693630103067</v>
      </c>
      <c r="I57" s="40">
        <v>-0.30789883171454768</v>
      </c>
      <c r="J57" s="40">
        <v>-0.1177048006353778</v>
      </c>
    </row>
    <row r="58" spans="1:10" ht="11.25" customHeight="1" x14ac:dyDescent="0.2">
      <c r="A58" s="49">
        <v>44593</v>
      </c>
      <c r="B58" s="39">
        <v>0</v>
      </c>
      <c r="C58" s="39">
        <v>0</v>
      </c>
      <c r="D58" s="39">
        <v>32573.608400000001</v>
      </c>
      <c r="E58" s="39">
        <v>57899.489135269519</v>
      </c>
      <c r="F58" s="39">
        <v>153316.85570000001</v>
      </c>
      <c r="G58" s="39">
        <v>106110.77494782212</v>
      </c>
      <c r="H58" s="40">
        <v>0.77749693630103067</v>
      </c>
      <c r="I58" s="40">
        <v>-0.30789883171454768</v>
      </c>
      <c r="J58" s="40">
        <v>-0.11770480063537792</v>
      </c>
    </row>
    <row r="59" spans="1:10" ht="11.25" customHeight="1" x14ac:dyDescent="0.2">
      <c r="A59" s="49">
        <v>44621</v>
      </c>
      <c r="B59" s="39">
        <v>0</v>
      </c>
      <c r="C59" s="39">
        <v>0</v>
      </c>
      <c r="D59" s="39">
        <v>31143.777999999998</v>
      </c>
      <c r="E59" s="39">
        <v>55357.969979839436</v>
      </c>
      <c r="F59" s="39">
        <v>146586.9565</v>
      </c>
      <c r="G59" s="39">
        <v>101453.00384905879</v>
      </c>
      <c r="H59" s="40">
        <v>0.77749693630103067</v>
      </c>
      <c r="I59" s="40">
        <v>-0.30789883171454757</v>
      </c>
      <c r="J59" s="40">
        <v>-0.1177048006353778</v>
      </c>
    </row>
    <row r="60" spans="1:10" ht="11.25" customHeight="1" x14ac:dyDescent="0.2">
      <c r="A60" s="49">
        <v>44652</v>
      </c>
      <c r="B60" s="39">
        <v>0</v>
      </c>
      <c r="C60" s="39">
        <v>0</v>
      </c>
      <c r="D60" s="39">
        <v>35125.388919999998</v>
      </c>
      <c r="E60" s="39">
        <v>62435.271191682172</v>
      </c>
      <c r="F60" s="39">
        <v>165327.52891000002</v>
      </c>
      <c r="G60" s="39">
        <v>114423.37590835791</v>
      </c>
      <c r="H60" s="40">
        <v>0.77749693630103089</v>
      </c>
      <c r="I60" s="40">
        <v>-0.30789883171454768</v>
      </c>
      <c r="J60" s="40">
        <v>-0.11770480063537792</v>
      </c>
    </row>
    <row r="61" spans="1:10" ht="11.25" customHeight="1" x14ac:dyDescent="0.2">
      <c r="A61" s="49">
        <v>44682</v>
      </c>
      <c r="B61" s="39">
        <v>0</v>
      </c>
      <c r="C61" s="39">
        <v>0</v>
      </c>
      <c r="D61" s="39">
        <v>32823.316440000002</v>
      </c>
      <c r="E61" s="39">
        <v>58343.344411339262</v>
      </c>
      <c r="F61" s="39">
        <v>154492.17687000002</v>
      </c>
      <c r="G61" s="39">
        <v>106924.21610268977</v>
      </c>
      <c r="H61" s="40">
        <v>0.77749693630103089</v>
      </c>
      <c r="I61" s="40">
        <v>-0.30789883171454757</v>
      </c>
      <c r="J61" s="40">
        <v>-0.1177048006353778</v>
      </c>
    </row>
    <row r="62" spans="1:10" ht="11.25" customHeight="1" x14ac:dyDescent="0.2">
      <c r="A62" s="49">
        <v>44713</v>
      </c>
      <c r="B62" s="39">
        <v>0</v>
      </c>
      <c r="C62" s="39">
        <v>0</v>
      </c>
      <c r="D62" s="39">
        <v>31694.87744</v>
      </c>
      <c r="E62" s="39">
        <v>56337.547546036658</v>
      </c>
      <c r="F62" s="39">
        <v>149180.86112000002</v>
      </c>
      <c r="G62" s="39">
        <v>103248.24826698183</v>
      </c>
      <c r="H62" s="40">
        <v>0.77749693630103067</v>
      </c>
      <c r="I62" s="40">
        <v>-0.30789883171454768</v>
      </c>
      <c r="J62" s="40">
        <v>-0.11770480063537792</v>
      </c>
    </row>
    <row r="63" spans="1:10" ht="11.25" customHeight="1" x14ac:dyDescent="0.2">
      <c r="A63" s="49">
        <v>44743</v>
      </c>
      <c r="B63" s="39">
        <v>0</v>
      </c>
      <c r="C63" s="39">
        <v>0</v>
      </c>
      <c r="D63" s="39">
        <v>27333.951639999999</v>
      </c>
      <c r="E63" s="39">
        <v>48586.01529710053</v>
      </c>
      <c r="F63" s="39">
        <v>128654.93647000002</v>
      </c>
      <c r="G63" s="39">
        <v>89042.231836577659</v>
      </c>
      <c r="H63" s="40">
        <v>0.77749693630103067</v>
      </c>
      <c r="I63" s="40">
        <v>-0.30789883171454768</v>
      </c>
      <c r="J63" s="40">
        <v>-0.11770480063537792</v>
      </c>
    </row>
    <row r="64" spans="1:10" ht="11.25" customHeight="1" x14ac:dyDescent="0.2">
      <c r="A64" s="49">
        <v>44774</v>
      </c>
      <c r="B64" s="39">
        <v>0</v>
      </c>
      <c r="C64" s="39">
        <v>0</v>
      </c>
      <c r="D64" s="39">
        <v>28470.35944</v>
      </c>
      <c r="E64" s="39">
        <v>50605.976679989129</v>
      </c>
      <c r="F64" s="39">
        <v>134003.75962000003</v>
      </c>
      <c r="G64" s="39">
        <v>92744.158587644939</v>
      </c>
      <c r="H64" s="40">
        <v>0.77749693630103067</v>
      </c>
      <c r="I64" s="40">
        <v>-0.30789883171454768</v>
      </c>
      <c r="J64" s="40">
        <v>-0.11770480063537792</v>
      </c>
    </row>
    <row r="65" spans="1:10" ht="11.25" customHeight="1" x14ac:dyDescent="0.2">
      <c r="A65" s="48" t="s">
        <v>25</v>
      </c>
      <c r="B65" s="39">
        <v>1037603.6399999999</v>
      </c>
      <c r="C65" s="39">
        <v>1405560.7585754634</v>
      </c>
      <c r="D65" s="39">
        <v>0</v>
      </c>
      <c r="E65" s="39">
        <v>0</v>
      </c>
      <c r="F65" s="39">
        <v>0</v>
      </c>
      <c r="G65" s="39">
        <v>0</v>
      </c>
      <c r="H65" s="40">
        <v>0.35462203908176693</v>
      </c>
      <c r="I65" s="40">
        <v>0</v>
      </c>
      <c r="J65" s="40">
        <v>0.35462203908176693</v>
      </c>
    </row>
    <row r="66" spans="1:10" ht="11.25" customHeight="1" x14ac:dyDescent="0.2">
      <c r="A66" s="49">
        <v>44440</v>
      </c>
      <c r="B66" s="39">
        <v>89494.04</v>
      </c>
      <c r="C66" s="39">
        <v>121230.5989504652</v>
      </c>
      <c r="D66" s="39">
        <v>0</v>
      </c>
      <c r="E66" s="39">
        <v>0</v>
      </c>
      <c r="F66" s="39">
        <v>0</v>
      </c>
      <c r="G66" s="39">
        <v>0</v>
      </c>
      <c r="H66" s="40">
        <v>0.35462203908176693</v>
      </c>
      <c r="I66" s="40">
        <v>0</v>
      </c>
      <c r="J66" s="40">
        <v>0.35462203908176693</v>
      </c>
    </row>
    <row r="67" spans="1:10" ht="11.25" customHeight="1" x14ac:dyDescent="0.2">
      <c r="A67" s="49">
        <v>44470</v>
      </c>
      <c r="B67" s="39">
        <v>90253.6</v>
      </c>
      <c r="C67" s="39">
        <v>122259.51566647015</v>
      </c>
      <c r="D67" s="39">
        <v>0</v>
      </c>
      <c r="E67" s="39">
        <v>0</v>
      </c>
      <c r="F67" s="39">
        <v>0</v>
      </c>
      <c r="G67" s="39">
        <v>0</v>
      </c>
      <c r="H67" s="40">
        <v>0.3546220390817667</v>
      </c>
      <c r="I67" s="40">
        <v>0</v>
      </c>
      <c r="J67" s="40">
        <v>0.3546220390817667</v>
      </c>
    </row>
    <row r="68" spans="1:10" ht="11.25" customHeight="1" x14ac:dyDescent="0.2">
      <c r="A68" s="49">
        <v>44501</v>
      </c>
      <c r="B68" s="39">
        <v>92375.9</v>
      </c>
      <c r="C68" s="39">
        <v>125134.43002001337</v>
      </c>
      <c r="D68" s="39">
        <v>0</v>
      </c>
      <c r="E68" s="39">
        <v>0</v>
      </c>
      <c r="F68" s="39">
        <v>0</v>
      </c>
      <c r="G68" s="39">
        <v>0</v>
      </c>
      <c r="H68" s="40">
        <v>0.3546220390817667</v>
      </c>
      <c r="I68" s="40">
        <v>0</v>
      </c>
      <c r="J68" s="40">
        <v>0.3546220390817667</v>
      </c>
    </row>
    <row r="69" spans="1:10" ht="11.25" customHeight="1" x14ac:dyDescent="0.2">
      <c r="A69" s="49">
        <v>44531</v>
      </c>
      <c r="B69" s="39">
        <v>92152.5</v>
      </c>
      <c r="C69" s="39">
        <v>124831.80745648251</v>
      </c>
      <c r="D69" s="39">
        <v>0</v>
      </c>
      <c r="E69" s="39">
        <v>0</v>
      </c>
      <c r="F69" s="39">
        <v>0</v>
      </c>
      <c r="G69" s="39">
        <v>0</v>
      </c>
      <c r="H69" s="40">
        <v>0.3546220390817667</v>
      </c>
      <c r="I69" s="40">
        <v>0</v>
      </c>
      <c r="J69" s="40">
        <v>0.3546220390817667</v>
      </c>
    </row>
    <row r="70" spans="1:10" ht="11.25" customHeight="1" x14ac:dyDescent="0.2">
      <c r="A70" s="49">
        <v>44562</v>
      </c>
      <c r="B70" s="39">
        <v>92621.64</v>
      </c>
      <c r="C70" s="39">
        <v>125467.31483989733</v>
      </c>
      <c r="D70" s="39">
        <v>0</v>
      </c>
      <c r="E70" s="39">
        <v>0</v>
      </c>
      <c r="F70" s="39">
        <v>0</v>
      </c>
      <c r="G70" s="39">
        <v>0</v>
      </c>
      <c r="H70" s="40">
        <v>0.3546220390817667</v>
      </c>
      <c r="I70" s="40">
        <v>0</v>
      </c>
      <c r="J70" s="40">
        <v>0.3546220390817667</v>
      </c>
    </row>
    <row r="71" spans="1:10" ht="11.25" customHeight="1" x14ac:dyDescent="0.2">
      <c r="A71" s="49">
        <v>44593</v>
      </c>
      <c r="B71" s="39">
        <v>92621.64</v>
      </c>
      <c r="C71" s="39">
        <v>125467.31483989733</v>
      </c>
      <c r="D71" s="39">
        <v>0</v>
      </c>
      <c r="E71" s="39">
        <v>0</v>
      </c>
      <c r="F71" s="39">
        <v>0</v>
      </c>
      <c r="G71" s="39">
        <v>0</v>
      </c>
      <c r="H71" s="40">
        <v>0.3546220390817667</v>
      </c>
      <c r="I71" s="40">
        <v>0</v>
      </c>
      <c r="J71" s="40">
        <v>0.3546220390817667</v>
      </c>
    </row>
    <row r="72" spans="1:10" ht="11.25" customHeight="1" x14ac:dyDescent="0.2">
      <c r="A72" s="49">
        <v>44621</v>
      </c>
      <c r="B72" s="39">
        <v>92197.18</v>
      </c>
      <c r="C72" s="39">
        <v>124892.33196918869</v>
      </c>
      <c r="D72" s="39">
        <v>0</v>
      </c>
      <c r="E72" s="39">
        <v>0</v>
      </c>
      <c r="F72" s="39">
        <v>0</v>
      </c>
      <c r="G72" s="39">
        <v>0</v>
      </c>
      <c r="H72" s="40">
        <v>0.35462203908176693</v>
      </c>
      <c r="I72" s="40">
        <v>0</v>
      </c>
      <c r="J72" s="40">
        <v>0.35462203908176693</v>
      </c>
    </row>
    <row r="73" spans="1:10" ht="11.25" customHeight="1" x14ac:dyDescent="0.2">
      <c r="A73" s="49">
        <v>44652</v>
      </c>
      <c r="B73" s="39">
        <v>91996.12</v>
      </c>
      <c r="C73" s="39">
        <v>124619.97166201091</v>
      </c>
      <c r="D73" s="39">
        <v>0</v>
      </c>
      <c r="E73" s="39">
        <v>0</v>
      </c>
      <c r="F73" s="39">
        <v>0</v>
      </c>
      <c r="G73" s="39">
        <v>0</v>
      </c>
      <c r="H73" s="40">
        <v>0.35462203908176693</v>
      </c>
      <c r="I73" s="40">
        <v>0</v>
      </c>
      <c r="J73" s="40">
        <v>0.35462203908176693</v>
      </c>
    </row>
    <row r="74" spans="1:10" ht="11.25" customHeight="1" x14ac:dyDescent="0.2">
      <c r="A74" s="49">
        <v>44682</v>
      </c>
      <c r="B74" s="39">
        <v>75844.3</v>
      </c>
      <c r="C74" s="39">
        <v>102740.36031872925</v>
      </c>
      <c r="D74" s="39">
        <v>0</v>
      </c>
      <c r="E74" s="39">
        <v>0</v>
      </c>
      <c r="F74" s="39">
        <v>0</v>
      </c>
      <c r="G74" s="39">
        <v>0</v>
      </c>
      <c r="H74" s="40">
        <v>0.3546220390817667</v>
      </c>
      <c r="I74" s="40">
        <v>0</v>
      </c>
      <c r="J74" s="40">
        <v>0.3546220390817667</v>
      </c>
    </row>
    <row r="75" spans="1:10" ht="11.25" customHeight="1" x14ac:dyDescent="0.2">
      <c r="A75" s="49">
        <v>44713</v>
      </c>
      <c r="B75" s="39">
        <v>75911.319999999992</v>
      </c>
      <c r="C75" s="39">
        <v>102831.1470877885</v>
      </c>
      <c r="D75" s="39">
        <v>0</v>
      </c>
      <c r="E75" s="39">
        <v>0</v>
      </c>
      <c r="F75" s="39">
        <v>0</v>
      </c>
      <c r="G75" s="39">
        <v>0</v>
      </c>
      <c r="H75" s="40">
        <v>0.35462203908176693</v>
      </c>
      <c r="I75" s="40">
        <v>0</v>
      </c>
      <c r="J75" s="40">
        <v>0.35462203908176693</v>
      </c>
    </row>
    <row r="76" spans="1:10" ht="11.25" customHeight="1" x14ac:dyDescent="0.2">
      <c r="A76" s="49">
        <v>44743</v>
      </c>
      <c r="B76" s="39">
        <v>75821.960000000006</v>
      </c>
      <c r="C76" s="39">
        <v>102710.09806237616</v>
      </c>
      <c r="D76" s="39">
        <v>0</v>
      </c>
      <c r="E76" s="39">
        <v>0</v>
      </c>
      <c r="F76" s="39">
        <v>0</v>
      </c>
      <c r="G76" s="39">
        <v>0</v>
      </c>
      <c r="H76" s="40">
        <v>0.3546220390817667</v>
      </c>
      <c r="I76" s="40">
        <v>0</v>
      </c>
      <c r="J76" s="40">
        <v>0.3546220390817667</v>
      </c>
    </row>
    <row r="77" spans="1:10" ht="11.25" customHeight="1" x14ac:dyDescent="0.2">
      <c r="A77" s="49">
        <v>44774</v>
      </c>
      <c r="B77" s="39">
        <v>76313.440000000002</v>
      </c>
      <c r="C77" s="39">
        <v>103375.86770214407</v>
      </c>
      <c r="D77" s="39">
        <v>0</v>
      </c>
      <c r="E77" s="39">
        <v>0</v>
      </c>
      <c r="F77" s="39">
        <v>0</v>
      </c>
      <c r="G77" s="39">
        <v>0</v>
      </c>
      <c r="H77" s="40">
        <v>0.3546220390817667</v>
      </c>
      <c r="I77" s="40">
        <v>0</v>
      </c>
      <c r="J77" s="40">
        <v>0.3546220390817667</v>
      </c>
    </row>
    <row r="78" spans="1:10" ht="11.25" customHeight="1" x14ac:dyDescent="0.2">
      <c r="A78" s="48" t="s">
        <v>37</v>
      </c>
      <c r="B78" s="39">
        <v>0</v>
      </c>
      <c r="C78" s="39">
        <v>0</v>
      </c>
      <c r="D78" s="39">
        <v>165931.83898000006</v>
      </c>
      <c r="E78" s="39">
        <v>200016.3945364065</v>
      </c>
      <c r="F78" s="39">
        <v>22951.045969999999</v>
      </c>
      <c r="G78" s="39">
        <v>15884.445729210125</v>
      </c>
      <c r="H78" s="40">
        <v>0.20541299226192922</v>
      </c>
      <c r="I78" s="40">
        <v>-0.30789883171454757</v>
      </c>
      <c r="J78" s="40">
        <v>0.14304078065500003</v>
      </c>
    </row>
    <row r="79" spans="1:10" ht="11.25" customHeight="1" x14ac:dyDescent="0.2">
      <c r="A79" s="49">
        <v>44440</v>
      </c>
      <c r="B79" s="39">
        <v>0</v>
      </c>
      <c r="C79" s="39">
        <v>0</v>
      </c>
      <c r="D79" s="39">
        <v>10976.63898</v>
      </c>
      <c r="E79" s="39">
        <v>13231.383237860735</v>
      </c>
      <c r="F79" s="39">
        <v>1518.2459700000002</v>
      </c>
      <c r="G79" s="39">
        <v>1050.77980958168</v>
      </c>
      <c r="H79" s="40">
        <v>0.20541299226192966</v>
      </c>
      <c r="I79" s="40">
        <v>-0.30789883171454768</v>
      </c>
      <c r="J79" s="40">
        <v>0.14304078065500025</v>
      </c>
    </row>
    <row r="80" spans="1:10" ht="11.25" customHeight="1" x14ac:dyDescent="0.2">
      <c r="A80" s="49">
        <v>44470</v>
      </c>
      <c r="B80" s="39">
        <v>0</v>
      </c>
      <c r="C80" s="39">
        <v>0</v>
      </c>
      <c r="D80" s="39">
        <v>19857.508880000001</v>
      </c>
      <c r="E80" s="39">
        <v>23936.499197908641</v>
      </c>
      <c r="F80" s="39">
        <v>2746.6133200000004</v>
      </c>
      <c r="G80" s="39">
        <v>1900.9342876003852</v>
      </c>
      <c r="H80" s="40">
        <v>0.20541299226192966</v>
      </c>
      <c r="I80" s="40">
        <v>-0.30789883171454768</v>
      </c>
      <c r="J80" s="40">
        <v>0.14304078065500048</v>
      </c>
    </row>
    <row r="81" spans="1:10" ht="11.25" customHeight="1" x14ac:dyDescent="0.2">
      <c r="A81" s="49">
        <v>44501</v>
      </c>
      <c r="B81" s="39">
        <v>0</v>
      </c>
      <c r="C81" s="39">
        <v>0</v>
      </c>
      <c r="D81" s="39">
        <v>15846.106139999998</v>
      </c>
      <c r="E81" s="39">
        <v>19101.102217917534</v>
      </c>
      <c r="F81" s="39">
        <v>2191.77171</v>
      </c>
      <c r="G81" s="39">
        <v>1516.9277611060038</v>
      </c>
      <c r="H81" s="40">
        <v>0.20541299226192966</v>
      </c>
      <c r="I81" s="40">
        <v>-0.30789883171454757</v>
      </c>
      <c r="J81" s="40">
        <v>0.14304078065500048</v>
      </c>
    </row>
    <row r="82" spans="1:10" ht="11.25" customHeight="1" x14ac:dyDescent="0.2">
      <c r="A82" s="49">
        <v>44531</v>
      </c>
      <c r="B82" s="39">
        <v>0</v>
      </c>
      <c r="C82" s="39">
        <v>0</v>
      </c>
      <c r="D82" s="39">
        <v>17019.891780000002</v>
      </c>
      <c r="E82" s="39">
        <v>20515.99867850402</v>
      </c>
      <c r="F82" s="39">
        <v>2354.1251700000003</v>
      </c>
      <c r="G82" s="39">
        <v>1629.2927804471894</v>
      </c>
      <c r="H82" s="40">
        <v>0.20541299226192944</v>
      </c>
      <c r="I82" s="40">
        <v>-0.30789883171454757</v>
      </c>
      <c r="J82" s="40">
        <v>0.14304078065500048</v>
      </c>
    </row>
    <row r="83" spans="1:10" ht="11.25" customHeight="1" x14ac:dyDescent="0.2">
      <c r="A83" s="49">
        <v>44562</v>
      </c>
      <c r="B83" s="39">
        <v>0</v>
      </c>
      <c r="C83" s="39">
        <v>0</v>
      </c>
      <c r="D83" s="39">
        <v>14459.257100000001</v>
      </c>
      <c r="E83" s="39">
        <v>17429.37636679555</v>
      </c>
      <c r="F83" s="39">
        <v>1999.9481500000002</v>
      </c>
      <c r="G83" s="39">
        <v>1384.1664511253293</v>
      </c>
      <c r="H83" s="40">
        <v>0.20541299226192944</v>
      </c>
      <c r="I83" s="40">
        <v>-0.30789883171454757</v>
      </c>
      <c r="J83" s="40">
        <v>0.14304078065500025</v>
      </c>
    </row>
    <row r="84" spans="1:10" ht="11.25" customHeight="1" x14ac:dyDescent="0.2">
      <c r="A84" s="49">
        <v>44593</v>
      </c>
      <c r="B84" s="39">
        <v>0</v>
      </c>
      <c r="C84" s="39">
        <v>0</v>
      </c>
      <c r="D84" s="39">
        <v>14240.382880000001</v>
      </c>
      <c r="E84" s="39">
        <v>17165.542538336354</v>
      </c>
      <c r="F84" s="39">
        <v>1969.6743200000003</v>
      </c>
      <c r="G84" s="39">
        <v>1363.2138980138541</v>
      </c>
      <c r="H84" s="40">
        <v>0.20541299226192944</v>
      </c>
      <c r="I84" s="40">
        <v>-0.30789883171454768</v>
      </c>
      <c r="J84" s="40">
        <v>0.14304078065500025</v>
      </c>
    </row>
    <row r="85" spans="1:10" ht="11.25" customHeight="1" x14ac:dyDescent="0.2">
      <c r="A85" s="49">
        <v>44621</v>
      </c>
      <c r="B85" s="39">
        <v>0</v>
      </c>
      <c r="C85" s="39">
        <v>0</v>
      </c>
      <c r="D85" s="39">
        <v>18786.38106</v>
      </c>
      <c r="E85" s="39">
        <v>22645.34780730744</v>
      </c>
      <c r="F85" s="39">
        <v>2598.4590900000003</v>
      </c>
      <c r="G85" s="39">
        <v>1798.3965719309535</v>
      </c>
      <c r="H85" s="40">
        <v>0.20541299226192966</v>
      </c>
      <c r="I85" s="40">
        <v>-0.30789883171454768</v>
      </c>
      <c r="J85" s="40">
        <v>0.14304078065500025</v>
      </c>
    </row>
    <row r="86" spans="1:10" ht="11.25" customHeight="1" x14ac:dyDescent="0.2">
      <c r="A86" s="49">
        <v>44652</v>
      </c>
      <c r="B86" s="39">
        <v>0</v>
      </c>
      <c r="C86" s="39">
        <v>0</v>
      </c>
      <c r="D86" s="39">
        <v>22944.991239999999</v>
      </c>
      <c r="E86" s="39">
        <v>27658.190548032162</v>
      </c>
      <c r="F86" s="39">
        <v>3173.6618600000002</v>
      </c>
      <c r="G86" s="39">
        <v>2196.4950810489822</v>
      </c>
      <c r="H86" s="40">
        <v>0.20541299226192966</v>
      </c>
      <c r="I86" s="40">
        <v>-0.30789883171454757</v>
      </c>
      <c r="J86" s="40">
        <v>0.14304078065500025</v>
      </c>
    </row>
    <row r="87" spans="1:10" ht="11.25" customHeight="1" x14ac:dyDescent="0.2">
      <c r="A87" s="49">
        <v>44682</v>
      </c>
      <c r="B87" s="39">
        <v>0</v>
      </c>
      <c r="C87" s="39">
        <v>0</v>
      </c>
      <c r="D87" s="39">
        <v>8142.8957599999994</v>
      </c>
      <c r="E87" s="39">
        <v>9815.5523437385782</v>
      </c>
      <c r="F87" s="39">
        <v>1126.2936400000001</v>
      </c>
      <c r="G87" s="39">
        <v>779.50914407647474</v>
      </c>
      <c r="H87" s="40">
        <v>0.20541299226192944</v>
      </c>
      <c r="I87" s="40">
        <v>-0.30789883171454768</v>
      </c>
      <c r="J87" s="40">
        <v>0.14304078065500025</v>
      </c>
    </row>
    <row r="88" spans="1:10" ht="11.25" customHeight="1" x14ac:dyDescent="0.2">
      <c r="A88" s="49">
        <v>44713</v>
      </c>
      <c r="B88" s="39">
        <v>0</v>
      </c>
      <c r="C88" s="39">
        <v>0</v>
      </c>
      <c r="D88" s="39">
        <v>7114.3806199999999</v>
      </c>
      <c r="E88" s="39">
        <v>8575.7668312444821</v>
      </c>
      <c r="F88" s="39">
        <v>984.03343000000007</v>
      </c>
      <c r="G88" s="39">
        <v>681.05068653494095</v>
      </c>
      <c r="H88" s="40">
        <v>0.20541299226192966</v>
      </c>
      <c r="I88" s="40">
        <v>-0.30789883171454768</v>
      </c>
      <c r="J88" s="40">
        <v>0.14304078065500048</v>
      </c>
    </row>
    <row r="89" spans="1:10" ht="11.25" customHeight="1" x14ac:dyDescent="0.2">
      <c r="A89" s="49">
        <v>44743</v>
      </c>
      <c r="B89" s="39">
        <v>0</v>
      </c>
      <c r="C89" s="39">
        <v>0</v>
      </c>
      <c r="D89" s="39">
        <v>7058.2093600000007</v>
      </c>
      <c r="E89" s="39">
        <v>8508.0572646487599</v>
      </c>
      <c r="F89" s="39">
        <v>976.26404000000014</v>
      </c>
      <c r="G89" s="39">
        <v>675.6734826390757</v>
      </c>
      <c r="H89" s="40">
        <v>0.20541299226192966</v>
      </c>
      <c r="I89" s="40">
        <v>-0.30789883171454768</v>
      </c>
      <c r="J89" s="40">
        <v>0.14304078065500025</v>
      </c>
    </row>
    <row r="90" spans="1:10" ht="11.25" customHeight="1" x14ac:dyDescent="0.2">
      <c r="A90" s="49">
        <v>44774</v>
      </c>
      <c r="B90" s="39">
        <v>0</v>
      </c>
      <c r="C90" s="39">
        <v>0</v>
      </c>
      <c r="D90" s="39">
        <v>9485.1951800000006</v>
      </c>
      <c r="E90" s="39">
        <v>11433.577504112232</v>
      </c>
      <c r="F90" s="39">
        <v>1311.9552700000002</v>
      </c>
      <c r="G90" s="39">
        <v>908.00577510525625</v>
      </c>
      <c r="H90" s="40">
        <v>0.20541299226192966</v>
      </c>
      <c r="I90" s="40">
        <v>-0.30789883171454757</v>
      </c>
      <c r="J90" s="40">
        <v>0.14304078065500025</v>
      </c>
    </row>
    <row r="91" spans="1:10" ht="11.25" customHeight="1" x14ac:dyDescent="0.2">
      <c r="A91" s="44" t="s">
        <v>41</v>
      </c>
      <c r="B91" s="39">
        <v>803232.01919999998</v>
      </c>
      <c r="C91" s="39">
        <v>1088075.7957044684</v>
      </c>
      <c r="D91" s="39">
        <v>503086.23323520005</v>
      </c>
      <c r="E91" s="39">
        <v>751299.90876889043</v>
      </c>
      <c r="F91" s="39">
        <v>1226492.6229840007</v>
      </c>
      <c r="G91" s="39">
        <v>848856.97726071544</v>
      </c>
      <c r="H91" s="40">
        <v>0.40806093847685965</v>
      </c>
      <c r="I91" s="40">
        <v>-0.3078988317145479</v>
      </c>
      <c r="J91" s="40">
        <v>6.1363368194299328E-2</v>
      </c>
    </row>
    <row r="92" spans="1:10" ht="11.25" customHeight="1" x14ac:dyDescent="0.2">
      <c r="A92" s="45" t="s">
        <v>50</v>
      </c>
      <c r="B92" s="39">
        <v>733509.77279999992</v>
      </c>
      <c r="C92" s="39">
        <v>993628.50411673938</v>
      </c>
      <c r="D92" s="39">
        <v>399267.90647040005</v>
      </c>
      <c r="E92" s="39">
        <v>611712.69251191872</v>
      </c>
      <c r="F92" s="39">
        <v>1096794.0056016003</v>
      </c>
      <c r="G92" s="39">
        <v>759092.41264534858</v>
      </c>
      <c r="H92" s="40">
        <v>0.4171723419397062</v>
      </c>
      <c r="I92" s="40">
        <v>-0.30789883171454757</v>
      </c>
      <c r="J92" s="40">
        <v>6.0487817152085954E-2</v>
      </c>
    </row>
    <row r="93" spans="1:10" ht="11.25" customHeight="1" x14ac:dyDescent="0.2">
      <c r="A93" s="46" t="s">
        <v>52</v>
      </c>
      <c r="B93" s="39">
        <v>0</v>
      </c>
      <c r="C93" s="39">
        <v>0</v>
      </c>
      <c r="D93" s="39">
        <v>44378.884704000004</v>
      </c>
      <c r="E93" s="39">
        <v>78883.331597816679</v>
      </c>
      <c r="F93" s="39">
        <v>208881.71119200008</v>
      </c>
      <c r="G93" s="39">
        <v>144567.27634944767</v>
      </c>
      <c r="H93" s="40">
        <v>0.77749693630103067</v>
      </c>
      <c r="I93" s="40">
        <v>-0.30789883171454779</v>
      </c>
      <c r="J93" s="40">
        <v>-0.11770480063537803</v>
      </c>
    </row>
    <row r="94" spans="1:10" ht="11.25" customHeight="1" x14ac:dyDescent="0.2">
      <c r="A94" s="47" t="s">
        <v>25</v>
      </c>
      <c r="B94" s="39">
        <v>0</v>
      </c>
      <c r="C94" s="39">
        <v>0</v>
      </c>
      <c r="D94" s="39">
        <v>44378.884704000004</v>
      </c>
      <c r="E94" s="39">
        <v>78883.331597816679</v>
      </c>
      <c r="F94" s="39">
        <v>208881.71119200008</v>
      </c>
      <c r="G94" s="39">
        <v>144567.27634944767</v>
      </c>
      <c r="H94" s="40">
        <v>0.77749693630103067</v>
      </c>
      <c r="I94" s="40">
        <v>-0.30789883171454779</v>
      </c>
      <c r="J94" s="40">
        <v>-0.11770480063537803</v>
      </c>
    </row>
    <row r="95" spans="1:10" ht="11.25" customHeight="1" x14ac:dyDescent="0.2">
      <c r="A95" s="48" t="s">
        <v>38</v>
      </c>
      <c r="B95" s="39">
        <v>0</v>
      </c>
      <c r="C95" s="39">
        <v>0</v>
      </c>
      <c r="D95" s="39">
        <v>44378.884704000004</v>
      </c>
      <c r="E95" s="39">
        <v>78883.331597816679</v>
      </c>
      <c r="F95" s="39">
        <v>208881.71119200008</v>
      </c>
      <c r="G95" s="39">
        <v>144567.27634944767</v>
      </c>
      <c r="H95" s="40">
        <v>0.77749693630103067</v>
      </c>
      <c r="I95" s="40">
        <v>-0.30789883171454779</v>
      </c>
      <c r="J95" s="40">
        <v>-0.11770480063537803</v>
      </c>
    </row>
    <row r="96" spans="1:10" ht="11.25" customHeight="1" x14ac:dyDescent="0.2">
      <c r="A96" s="49">
        <v>44440</v>
      </c>
      <c r="B96" s="39">
        <v>0</v>
      </c>
      <c r="C96" s="39">
        <v>0</v>
      </c>
      <c r="D96" s="39">
        <v>9471.3229319999991</v>
      </c>
      <c r="E96" s="39">
        <v>16835.247494347695</v>
      </c>
      <c r="F96" s="39">
        <v>44579.447061000006</v>
      </c>
      <c r="G96" s="39">
        <v>30853.487392437579</v>
      </c>
      <c r="H96" s="40">
        <v>0.77749693630103089</v>
      </c>
      <c r="I96" s="40">
        <v>-0.30789883171454768</v>
      </c>
      <c r="J96" s="40">
        <v>-0.11770480063537803</v>
      </c>
    </row>
    <row r="97" spans="1:10" ht="11.25" customHeight="1" x14ac:dyDescent="0.2">
      <c r="A97" s="49">
        <v>44470</v>
      </c>
      <c r="B97" s="39">
        <v>0</v>
      </c>
      <c r="C97" s="39">
        <v>0</v>
      </c>
      <c r="D97" s="39">
        <v>3529.6091999999999</v>
      </c>
      <c r="E97" s="39">
        <v>6273.8695393399321</v>
      </c>
      <c r="F97" s="39">
        <v>16613.099099999999</v>
      </c>
      <c r="G97" s="39">
        <v>11497.945295951999</v>
      </c>
      <c r="H97" s="40">
        <v>0.77749693630103089</v>
      </c>
      <c r="I97" s="40">
        <v>-0.30789883171454757</v>
      </c>
      <c r="J97" s="40">
        <v>-0.11770480063537769</v>
      </c>
    </row>
    <row r="98" spans="1:10" ht="11.25" customHeight="1" x14ac:dyDescent="0.2">
      <c r="A98" s="49">
        <v>44501</v>
      </c>
      <c r="B98" s="39">
        <v>0</v>
      </c>
      <c r="C98" s="39">
        <v>0</v>
      </c>
      <c r="D98" s="39">
        <v>1670.1694080000002</v>
      </c>
      <c r="E98" s="39">
        <v>2968.7210058237065</v>
      </c>
      <c r="F98" s="39">
        <v>7861.1223840000011</v>
      </c>
      <c r="G98" s="39">
        <v>5440.6919860013213</v>
      </c>
      <c r="H98" s="40">
        <v>0.77749693630103067</v>
      </c>
      <c r="I98" s="40">
        <v>-0.30789883171454768</v>
      </c>
      <c r="J98" s="40">
        <v>-0.11770480063537792</v>
      </c>
    </row>
    <row r="99" spans="1:10" ht="11.25" customHeight="1" x14ac:dyDescent="0.2">
      <c r="A99" s="49">
        <v>44531</v>
      </c>
      <c r="B99" s="39">
        <v>0</v>
      </c>
      <c r="C99" s="39">
        <v>0</v>
      </c>
      <c r="D99" s="39">
        <v>851.75088000000005</v>
      </c>
      <c r="E99" s="39">
        <v>1513.9845796917068</v>
      </c>
      <c r="F99" s="39">
        <v>4009.0052400000004</v>
      </c>
      <c r="G99" s="39">
        <v>2774.6372102665009</v>
      </c>
      <c r="H99" s="40">
        <v>0.77749693630103045</v>
      </c>
      <c r="I99" s="40">
        <v>-0.30789883171454757</v>
      </c>
      <c r="J99" s="40">
        <v>-0.11770480063537769</v>
      </c>
    </row>
    <row r="100" spans="1:10" ht="11.25" customHeight="1" x14ac:dyDescent="0.2">
      <c r="A100" s="49">
        <v>44562</v>
      </c>
      <c r="B100" s="39">
        <v>0</v>
      </c>
      <c r="C100" s="39">
        <v>0</v>
      </c>
      <c r="D100" s="39">
        <v>609.13507199999992</v>
      </c>
      <c r="E100" s="39">
        <v>1082.7357242735077</v>
      </c>
      <c r="F100" s="39">
        <v>2867.0656560000002</v>
      </c>
      <c r="G100" s="39">
        <v>1984.299490068697</v>
      </c>
      <c r="H100" s="40">
        <v>0.77749693630103089</v>
      </c>
      <c r="I100" s="40">
        <v>-0.30789883171454768</v>
      </c>
      <c r="J100" s="40">
        <v>-0.11770480063537792</v>
      </c>
    </row>
    <row r="101" spans="1:10" ht="11.25" customHeight="1" x14ac:dyDescent="0.2">
      <c r="A101" s="49">
        <v>44593</v>
      </c>
      <c r="B101" s="39">
        <v>0</v>
      </c>
      <c r="C101" s="39">
        <v>0</v>
      </c>
      <c r="D101" s="39">
        <v>1242.279</v>
      </c>
      <c r="E101" s="39">
        <v>2208.1471165311082</v>
      </c>
      <c r="F101" s="39">
        <v>5847.1357500000004</v>
      </c>
      <c r="G101" s="39">
        <v>4046.8094836986352</v>
      </c>
      <c r="H101" s="40">
        <v>0.77749693630103067</v>
      </c>
      <c r="I101" s="40">
        <v>-0.30789883171454757</v>
      </c>
      <c r="J101" s="40">
        <v>-0.1177048006353778</v>
      </c>
    </row>
    <row r="102" spans="1:10" ht="11.25" customHeight="1" x14ac:dyDescent="0.2">
      <c r="A102" s="49">
        <v>44621</v>
      </c>
      <c r="B102" s="39">
        <v>0</v>
      </c>
      <c r="C102" s="39">
        <v>0</v>
      </c>
      <c r="D102" s="39">
        <v>1446.747024</v>
      </c>
      <c r="E102" s="39">
        <v>2571.5884027626339</v>
      </c>
      <c r="F102" s="39">
        <v>6809.5220520000012</v>
      </c>
      <c r="G102" s="39">
        <v>4712.8781676547515</v>
      </c>
      <c r="H102" s="40">
        <v>0.77749693630103089</v>
      </c>
      <c r="I102" s="40">
        <v>-0.30789883171454768</v>
      </c>
      <c r="J102" s="40">
        <v>-0.1177048006353778</v>
      </c>
    </row>
    <row r="103" spans="1:10" ht="11.25" customHeight="1" x14ac:dyDescent="0.2">
      <c r="A103" s="49">
        <v>44652</v>
      </c>
      <c r="B103" s="39">
        <v>0</v>
      </c>
      <c r="C103" s="39">
        <v>0</v>
      </c>
      <c r="D103" s="39">
        <v>3251.0142599999999</v>
      </c>
      <c r="E103" s="39">
        <v>5778.6678870209626</v>
      </c>
      <c r="F103" s="39">
        <v>15301.813605000001</v>
      </c>
      <c r="G103" s="39">
        <v>10590.403072906731</v>
      </c>
      <c r="H103" s="40">
        <v>0.77749693630103067</v>
      </c>
      <c r="I103" s="40">
        <v>-0.30789883171454757</v>
      </c>
      <c r="J103" s="40">
        <v>-0.1177048006353778</v>
      </c>
    </row>
    <row r="104" spans="1:10" ht="11.25" customHeight="1" x14ac:dyDescent="0.2">
      <c r="A104" s="49">
        <v>44682</v>
      </c>
      <c r="B104" s="39">
        <v>0</v>
      </c>
      <c r="C104" s="39">
        <v>0</v>
      </c>
      <c r="D104" s="39">
        <v>6776.9179680000007</v>
      </c>
      <c r="E104" s="39">
        <v>12045.950925683406</v>
      </c>
      <c r="F104" s="39">
        <v>31897.471764000002</v>
      </c>
      <c r="G104" s="39">
        <v>22076.277473216633</v>
      </c>
      <c r="H104" s="40">
        <v>0.77749693630103045</v>
      </c>
      <c r="I104" s="40">
        <v>-0.30789883171454757</v>
      </c>
      <c r="J104" s="40">
        <v>-0.1177048006353778</v>
      </c>
    </row>
    <row r="105" spans="1:10" ht="11.25" customHeight="1" x14ac:dyDescent="0.2">
      <c r="A105" s="49">
        <v>44713</v>
      </c>
      <c r="B105" s="39">
        <v>0</v>
      </c>
      <c r="C105" s="39">
        <v>0</v>
      </c>
      <c r="D105" s="39">
        <v>1913.7756240000001</v>
      </c>
      <c r="E105" s="39">
        <v>3401.7303084275932</v>
      </c>
      <c r="F105" s="39">
        <v>9007.723602</v>
      </c>
      <c r="G105" s="39">
        <v>6234.2560285366435</v>
      </c>
      <c r="H105" s="40">
        <v>0.77749693630103045</v>
      </c>
      <c r="I105" s="40">
        <v>-0.30789883171454757</v>
      </c>
      <c r="J105" s="40">
        <v>-0.1177048006353778</v>
      </c>
    </row>
    <row r="106" spans="1:10" ht="11.25" customHeight="1" x14ac:dyDescent="0.2">
      <c r="A106" s="49">
        <v>44743</v>
      </c>
      <c r="B106" s="39">
        <v>0</v>
      </c>
      <c r="C106" s="39">
        <v>0</v>
      </c>
      <c r="D106" s="39">
        <v>5046.8801040000008</v>
      </c>
      <c r="E106" s="39">
        <v>8970.8139227386273</v>
      </c>
      <c r="F106" s="39">
        <v>23754.561642000004</v>
      </c>
      <c r="G106" s="39">
        <v>16440.559864536997</v>
      </c>
      <c r="H106" s="40">
        <v>0.77749693630103045</v>
      </c>
      <c r="I106" s="40">
        <v>-0.30789883171454757</v>
      </c>
      <c r="J106" s="40">
        <v>-0.1177048006353778</v>
      </c>
    </row>
    <row r="107" spans="1:10" ht="11.25" customHeight="1" x14ac:dyDescent="0.2">
      <c r="A107" s="49">
        <v>44774</v>
      </c>
      <c r="B107" s="39">
        <v>0</v>
      </c>
      <c r="C107" s="39">
        <v>0</v>
      </c>
      <c r="D107" s="39">
        <v>8569.2832319999998</v>
      </c>
      <c r="E107" s="39">
        <v>15231.874691175793</v>
      </c>
      <c r="F107" s="39">
        <v>40333.743336000007</v>
      </c>
      <c r="G107" s="39">
        <v>27915.030884171181</v>
      </c>
      <c r="H107" s="40">
        <v>0.77749693630103067</v>
      </c>
      <c r="I107" s="40">
        <v>-0.30789883171454768</v>
      </c>
      <c r="J107" s="40">
        <v>-0.11770480063537803</v>
      </c>
    </row>
    <row r="108" spans="1:10" ht="11.25" customHeight="1" x14ac:dyDescent="0.2">
      <c r="A108" s="46" t="s">
        <v>25</v>
      </c>
      <c r="B108" s="39">
        <v>733509.77279999992</v>
      </c>
      <c r="C108" s="39">
        <v>993628.50411673938</v>
      </c>
      <c r="D108" s="39">
        <v>354889.02176639996</v>
      </c>
      <c r="E108" s="39">
        <v>532829.36091410206</v>
      </c>
      <c r="F108" s="39">
        <v>887912.29440959985</v>
      </c>
      <c r="G108" s="39">
        <v>614525.13629590091</v>
      </c>
      <c r="H108" s="40">
        <v>0.40248029734262714</v>
      </c>
      <c r="I108" s="40">
        <v>-0.30789883171454724</v>
      </c>
      <c r="J108" s="40">
        <v>8.3322870204642463E-2</v>
      </c>
    </row>
    <row r="109" spans="1:10" ht="11.25" customHeight="1" x14ac:dyDescent="0.2">
      <c r="A109" s="47" t="s">
        <v>25</v>
      </c>
      <c r="B109" s="39">
        <v>733509.77279999992</v>
      </c>
      <c r="C109" s="39">
        <v>993628.50411673938</v>
      </c>
      <c r="D109" s="39">
        <v>354889.02176639996</v>
      </c>
      <c r="E109" s="39">
        <v>532829.36091410206</v>
      </c>
      <c r="F109" s="39">
        <v>887912.29440959985</v>
      </c>
      <c r="G109" s="39">
        <v>614525.13629590091</v>
      </c>
      <c r="H109" s="40">
        <v>0.40248029734262714</v>
      </c>
      <c r="I109" s="40">
        <v>-0.30789883171454724</v>
      </c>
      <c r="J109" s="40">
        <v>8.3322870204642463E-2</v>
      </c>
    </row>
    <row r="110" spans="1:10" ht="11.25" customHeight="1" x14ac:dyDescent="0.2">
      <c r="A110" s="48" t="s">
        <v>38</v>
      </c>
      <c r="B110" s="39">
        <v>0</v>
      </c>
      <c r="C110" s="39">
        <v>0</v>
      </c>
      <c r="D110" s="39">
        <v>183612.08064</v>
      </c>
      <c r="E110" s="39">
        <v>326369.9108054578</v>
      </c>
      <c r="F110" s="39">
        <v>864221.93472000002</v>
      </c>
      <c r="G110" s="39">
        <v>598129.01067762601</v>
      </c>
      <c r="H110" s="40">
        <v>0.77749693630103067</v>
      </c>
      <c r="I110" s="40">
        <v>-0.30789883171454757</v>
      </c>
      <c r="J110" s="40">
        <v>-0.1177048006353778</v>
      </c>
    </row>
    <row r="111" spans="1:10" ht="11.25" customHeight="1" x14ac:dyDescent="0.2">
      <c r="A111" s="49">
        <v>44440</v>
      </c>
      <c r="B111" s="39">
        <v>0</v>
      </c>
      <c r="C111" s="39">
        <v>0</v>
      </c>
      <c r="D111" s="39">
        <v>44946.818803200003</v>
      </c>
      <c r="E111" s="39">
        <v>79892.832719165555</v>
      </c>
      <c r="F111" s="39">
        <v>211554.85287360003</v>
      </c>
      <c r="G111" s="39">
        <v>146417.36083027557</v>
      </c>
      <c r="H111" s="40">
        <v>0.77749693630103045</v>
      </c>
      <c r="I111" s="40">
        <v>-0.30789883171454757</v>
      </c>
      <c r="J111" s="40">
        <v>-0.11770480063537792</v>
      </c>
    </row>
    <row r="112" spans="1:10" ht="11.25" customHeight="1" x14ac:dyDescent="0.2">
      <c r="A112" s="49">
        <v>44470</v>
      </c>
      <c r="B112" s="39">
        <v>0</v>
      </c>
      <c r="C112" s="39">
        <v>0</v>
      </c>
      <c r="D112" s="39">
        <v>19536.091507200003</v>
      </c>
      <c r="E112" s="39">
        <v>34725.342801344588</v>
      </c>
      <c r="F112" s="39">
        <v>91952.113065600017</v>
      </c>
      <c r="G112" s="39">
        <v>63640.164879017779</v>
      </c>
      <c r="H112" s="40">
        <v>0.77749693630103067</v>
      </c>
      <c r="I112" s="40">
        <v>-0.30789883171454768</v>
      </c>
      <c r="J112" s="40">
        <v>-0.11770480063537792</v>
      </c>
    </row>
    <row r="113" spans="1:10" ht="11.25" customHeight="1" x14ac:dyDescent="0.2">
      <c r="A113" s="49">
        <v>44501</v>
      </c>
      <c r="B113" s="39">
        <v>0</v>
      </c>
      <c r="C113" s="39">
        <v>0</v>
      </c>
      <c r="D113" s="39">
        <v>7963.5360384000005</v>
      </c>
      <c r="E113" s="39">
        <v>14155.160910378847</v>
      </c>
      <c r="F113" s="39">
        <v>37482.623683200007</v>
      </c>
      <c r="G113" s="39">
        <v>25941.767641546689</v>
      </c>
      <c r="H113" s="40">
        <v>0.77749693630103045</v>
      </c>
      <c r="I113" s="40">
        <v>-0.30789883171454768</v>
      </c>
      <c r="J113" s="40">
        <v>-0.11770480063537792</v>
      </c>
    </row>
    <row r="114" spans="1:10" ht="11.25" customHeight="1" x14ac:dyDescent="0.2">
      <c r="A114" s="49">
        <v>44531</v>
      </c>
      <c r="B114" s="39">
        <v>0</v>
      </c>
      <c r="C114" s="39">
        <v>0</v>
      </c>
      <c r="D114" s="39">
        <v>3106.1380607999999</v>
      </c>
      <c r="E114" s="39">
        <v>5521.1508868000246</v>
      </c>
      <c r="F114" s="39">
        <v>14619.912998400001</v>
      </c>
      <c r="G114" s="39">
        <v>10118.458866424311</v>
      </c>
      <c r="H114" s="40">
        <v>0.77749693630103067</v>
      </c>
      <c r="I114" s="40">
        <v>-0.30789883171454768</v>
      </c>
      <c r="J114" s="40">
        <v>-0.1177048006353778</v>
      </c>
    </row>
    <row r="115" spans="1:10" ht="11.25" customHeight="1" x14ac:dyDescent="0.2">
      <c r="A115" s="49">
        <v>44562</v>
      </c>
      <c r="B115" s="39">
        <v>0</v>
      </c>
      <c r="C115" s="39">
        <v>0</v>
      </c>
      <c r="D115" s="39">
        <v>2920.6243967999999</v>
      </c>
      <c r="E115" s="39">
        <v>5191.4009173980457</v>
      </c>
      <c r="F115" s="39">
        <v>13746.740726400001</v>
      </c>
      <c r="G115" s="39">
        <v>9514.1353168586484</v>
      </c>
      <c r="H115" s="40">
        <v>0.77749693630103067</v>
      </c>
      <c r="I115" s="40">
        <v>-0.30789883171454768</v>
      </c>
      <c r="J115" s="40">
        <v>-0.1177048006353778</v>
      </c>
    </row>
    <row r="116" spans="1:10" ht="11.25" customHeight="1" x14ac:dyDescent="0.2">
      <c r="A116" s="49">
        <v>44593</v>
      </c>
      <c r="B116" s="39">
        <v>0</v>
      </c>
      <c r="C116" s="39">
        <v>0</v>
      </c>
      <c r="D116" s="39">
        <v>4052.5036415999998</v>
      </c>
      <c r="E116" s="39">
        <v>7203.3128072927693</v>
      </c>
      <c r="F116" s="39">
        <v>19074.248956800002</v>
      </c>
      <c r="G116" s="39">
        <v>13201.309987168852</v>
      </c>
      <c r="H116" s="40">
        <v>0.77749693630103067</v>
      </c>
      <c r="I116" s="40">
        <v>-0.30789883171454768</v>
      </c>
      <c r="J116" s="40">
        <v>-0.11770480063537792</v>
      </c>
    </row>
    <row r="117" spans="1:10" ht="11.25" customHeight="1" x14ac:dyDescent="0.2">
      <c r="A117" s="49">
        <v>44621</v>
      </c>
      <c r="B117" s="39">
        <v>0</v>
      </c>
      <c r="C117" s="39">
        <v>0</v>
      </c>
      <c r="D117" s="39">
        <v>3618.0355583999999</v>
      </c>
      <c r="E117" s="39">
        <v>6431.0471204841888</v>
      </c>
      <c r="F117" s="39">
        <v>17029.302643200001</v>
      </c>
      <c r="G117" s="39">
        <v>11786.000254445262</v>
      </c>
      <c r="H117" s="40">
        <v>0.77749693630103067</v>
      </c>
      <c r="I117" s="40">
        <v>-0.30789883171454768</v>
      </c>
      <c r="J117" s="40">
        <v>-0.1177048006353778</v>
      </c>
    </row>
    <row r="118" spans="1:10" ht="11.25" customHeight="1" x14ac:dyDescent="0.2">
      <c r="A118" s="49">
        <v>44652</v>
      </c>
      <c r="B118" s="39">
        <v>0</v>
      </c>
      <c r="C118" s="39">
        <v>0</v>
      </c>
      <c r="D118" s="39">
        <v>9773.2095360000003</v>
      </c>
      <c r="E118" s="39">
        <v>17371.850008068017</v>
      </c>
      <c r="F118" s="39">
        <v>46000.361327999999</v>
      </c>
      <c r="G118" s="39">
        <v>31836.903816661743</v>
      </c>
      <c r="H118" s="40">
        <v>0.77749693630103045</v>
      </c>
      <c r="I118" s="40">
        <v>-0.30789883171454757</v>
      </c>
      <c r="J118" s="40">
        <v>-0.1177048006353778</v>
      </c>
    </row>
    <row r="119" spans="1:10" ht="11.25" customHeight="1" x14ac:dyDescent="0.2">
      <c r="A119" s="49">
        <v>44682</v>
      </c>
      <c r="B119" s="39">
        <v>0</v>
      </c>
      <c r="C119" s="39">
        <v>0</v>
      </c>
      <c r="D119" s="39">
        <v>25621.2675456</v>
      </c>
      <c r="E119" s="39">
        <v>45541.724566453027</v>
      </c>
      <c r="F119" s="39">
        <v>120593.70674880002</v>
      </c>
      <c r="G119" s="39">
        <v>83463.045328717722</v>
      </c>
      <c r="H119" s="40">
        <v>0.77749693630103067</v>
      </c>
      <c r="I119" s="40">
        <v>-0.30789883171454768</v>
      </c>
      <c r="J119" s="40">
        <v>-0.11770480063537792</v>
      </c>
    </row>
    <row r="120" spans="1:10" ht="11.25" customHeight="1" x14ac:dyDescent="0.2">
      <c r="A120" s="49">
        <v>44713</v>
      </c>
      <c r="B120" s="39">
        <v>0</v>
      </c>
      <c r="C120" s="39">
        <v>0</v>
      </c>
      <c r="D120" s="39">
        <v>5794.911360000001</v>
      </c>
      <c r="E120" s="39">
        <v>10300.43718853604</v>
      </c>
      <c r="F120" s="39">
        <v>27275.381280000005</v>
      </c>
      <c r="G120" s="39">
        <v>18877.323249319161</v>
      </c>
      <c r="H120" s="40">
        <v>0.77749693630103045</v>
      </c>
      <c r="I120" s="40">
        <v>-0.30789883171454768</v>
      </c>
      <c r="J120" s="40">
        <v>-0.11770480063537803</v>
      </c>
    </row>
    <row r="121" spans="1:10" ht="11.25" customHeight="1" x14ac:dyDescent="0.2">
      <c r="A121" s="49">
        <v>44743</v>
      </c>
      <c r="B121" s="39">
        <v>0</v>
      </c>
      <c r="C121" s="39">
        <v>0</v>
      </c>
      <c r="D121" s="39">
        <v>19735.484544000003</v>
      </c>
      <c r="E121" s="39">
        <v>35079.763313376345</v>
      </c>
      <c r="F121" s="39">
        <v>92890.612512000007</v>
      </c>
      <c r="G121" s="39">
        <v>64289.701442306468</v>
      </c>
      <c r="H121" s="40">
        <v>0.77749693630103045</v>
      </c>
      <c r="I121" s="40">
        <v>-0.30789883171454757</v>
      </c>
      <c r="J121" s="40">
        <v>-0.11770480063537792</v>
      </c>
    </row>
    <row r="122" spans="1:10" ht="11.25" customHeight="1" x14ac:dyDescent="0.2">
      <c r="A122" s="49">
        <v>44774</v>
      </c>
      <c r="B122" s="39">
        <v>0</v>
      </c>
      <c r="C122" s="39">
        <v>0</v>
      </c>
      <c r="D122" s="39">
        <v>36543.459648000004</v>
      </c>
      <c r="E122" s="39">
        <v>64955.887566160345</v>
      </c>
      <c r="F122" s="39">
        <v>172002.07790400003</v>
      </c>
      <c r="G122" s="39">
        <v>119042.83906488381</v>
      </c>
      <c r="H122" s="40">
        <v>0.77749693630103067</v>
      </c>
      <c r="I122" s="40">
        <v>-0.30789883171454768</v>
      </c>
      <c r="J122" s="40">
        <v>-0.11770480063537792</v>
      </c>
    </row>
    <row r="123" spans="1:10" ht="11.25" customHeight="1" x14ac:dyDescent="0.2">
      <c r="A123" s="48" t="s">
        <v>25</v>
      </c>
      <c r="B123" s="39">
        <v>733509.77279999992</v>
      </c>
      <c r="C123" s="39">
        <v>993628.50411673938</v>
      </c>
      <c r="D123" s="39">
        <v>0</v>
      </c>
      <c r="E123" s="39">
        <v>0</v>
      </c>
      <c r="F123" s="39">
        <v>0</v>
      </c>
      <c r="G123" s="39">
        <v>0</v>
      </c>
      <c r="H123" s="40">
        <v>0.3546220390817667</v>
      </c>
      <c r="I123" s="40">
        <v>0</v>
      </c>
      <c r="J123" s="40">
        <v>0.3546220390817667</v>
      </c>
    </row>
    <row r="124" spans="1:10" ht="11.25" customHeight="1" x14ac:dyDescent="0.2">
      <c r="A124" s="49">
        <v>44440</v>
      </c>
      <c r="B124" s="39">
        <v>79673.376000000004</v>
      </c>
      <c r="C124" s="39">
        <v>107927.3110576483</v>
      </c>
      <c r="D124" s="39">
        <v>0</v>
      </c>
      <c r="E124" s="39">
        <v>0</v>
      </c>
      <c r="F124" s="39">
        <v>0</v>
      </c>
      <c r="G124" s="39">
        <v>0</v>
      </c>
      <c r="H124" s="40">
        <v>0.3546220390817667</v>
      </c>
      <c r="I124" s="40">
        <v>0</v>
      </c>
      <c r="J124" s="40">
        <v>0.3546220390817667</v>
      </c>
    </row>
    <row r="125" spans="1:10" ht="11.25" customHeight="1" x14ac:dyDescent="0.2">
      <c r="A125" s="49">
        <v>44470</v>
      </c>
      <c r="B125" s="39">
        <v>95479.372799999997</v>
      </c>
      <c r="C125" s="39">
        <v>129338.46267258418</v>
      </c>
      <c r="D125" s="39">
        <v>0</v>
      </c>
      <c r="E125" s="39">
        <v>0</v>
      </c>
      <c r="F125" s="39">
        <v>0</v>
      </c>
      <c r="G125" s="39">
        <v>0</v>
      </c>
      <c r="H125" s="40">
        <v>0.35462203908176693</v>
      </c>
      <c r="I125" s="40">
        <v>0</v>
      </c>
      <c r="J125" s="40">
        <v>0.35462203908176693</v>
      </c>
    </row>
    <row r="126" spans="1:10" ht="11.25" customHeight="1" x14ac:dyDescent="0.2">
      <c r="A126" s="49">
        <v>44501</v>
      </c>
      <c r="B126" s="39">
        <v>51707.270400000001</v>
      </c>
      <c r="C126" s="39">
        <v>70043.808064600278</v>
      </c>
      <c r="D126" s="39">
        <v>0</v>
      </c>
      <c r="E126" s="39">
        <v>0</v>
      </c>
      <c r="F126" s="39">
        <v>0</v>
      </c>
      <c r="G126" s="39">
        <v>0</v>
      </c>
      <c r="H126" s="40">
        <v>0.3546220390817667</v>
      </c>
      <c r="I126" s="40">
        <v>0</v>
      </c>
      <c r="J126" s="40">
        <v>0.3546220390817667</v>
      </c>
    </row>
    <row r="127" spans="1:10" ht="11.25" customHeight="1" x14ac:dyDescent="0.2">
      <c r="A127" s="49">
        <v>44531</v>
      </c>
      <c r="B127" s="39">
        <v>37445.414400000001</v>
      </c>
      <c r="C127" s="39">
        <v>50724.383608789758</v>
      </c>
      <c r="D127" s="39">
        <v>0</v>
      </c>
      <c r="E127" s="39">
        <v>0</v>
      </c>
      <c r="F127" s="39">
        <v>0</v>
      </c>
      <c r="G127" s="39">
        <v>0</v>
      </c>
      <c r="H127" s="40">
        <v>0.35462203908176693</v>
      </c>
      <c r="I127" s="40">
        <v>0</v>
      </c>
      <c r="J127" s="40">
        <v>0.35462203908176693</v>
      </c>
    </row>
    <row r="128" spans="1:10" ht="11.25" customHeight="1" x14ac:dyDescent="0.2">
      <c r="A128" s="49">
        <v>44562</v>
      </c>
      <c r="B128" s="39">
        <v>35107.756800000003</v>
      </c>
      <c r="C128" s="39">
        <v>47557.741104002765</v>
      </c>
      <c r="D128" s="39">
        <v>0</v>
      </c>
      <c r="E128" s="39">
        <v>0</v>
      </c>
      <c r="F128" s="39">
        <v>0</v>
      </c>
      <c r="G128" s="39">
        <v>0</v>
      </c>
      <c r="H128" s="40">
        <v>0.3546220390817667</v>
      </c>
      <c r="I128" s="40">
        <v>0</v>
      </c>
      <c r="J128" s="40">
        <v>0.3546220390817667</v>
      </c>
    </row>
    <row r="129" spans="1:10" ht="11.25" customHeight="1" x14ac:dyDescent="0.2">
      <c r="A129" s="49">
        <v>44593</v>
      </c>
      <c r="B129" s="39">
        <v>42592.5504</v>
      </c>
      <c r="C129" s="39">
        <v>57696.807472540917</v>
      </c>
      <c r="D129" s="39">
        <v>0</v>
      </c>
      <c r="E129" s="39">
        <v>0</v>
      </c>
      <c r="F129" s="39">
        <v>0</v>
      </c>
      <c r="G129" s="39">
        <v>0</v>
      </c>
      <c r="H129" s="40">
        <v>0.3546220390817667</v>
      </c>
      <c r="I129" s="40">
        <v>0</v>
      </c>
      <c r="J129" s="40">
        <v>0.3546220390817667</v>
      </c>
    </row>
    <row r="130" spans="1:10" ht="11.25" customHeight="1" x14ac:dyDescent="0.2">
      <c r="A130" s="49">
        <v>44621</v>
      </c>
      <c r="B130" s="39">
        <v>33778.080000000002</v>
      </c>
      <c r="C130" s="39">
        <v>45756.531605867043</v>
      </c>
      <c r="D130" s="39">
        <v>0</v>
      </c>
      <c r="E130" s="39">
        <v>0</v>
      </c>
      <c r="F130" s="39">
        <v>0</v>
      </c>
      <c r="G130" s="39">
        <v>0</v>
      </c>
      <c r="H130" s="40">
        <v>0.3546220390817667</v>
      </c>
      <c r="I130" s="40">
        <v>0</v>
      </c>
      <c r="J130" s="40">
        <v>0.3546220390817667</v>
      </c>
    </row>
    <row r="131" spans="1:10" ht="11.25" customHeight="1" x14ac:dyDescent="0.2">
      <c r="A131" s="49">
        <v>44652</v>
      </c>
      <c r="B131" s="39">
        <v>56639.9424</v>
      </c>
      <c r="C131" s="39">
        <v>76725.714267361822</v>
      </c>
      <c r="D131" s="39">
        <v>0</v>
      </c>
      <c r="E131" s="39">
        <v>0</v>
      </c>
      <c r="F131" s="39">
        <v>0</v>
      </c>
      <c r="G131" s="39">
        <v>0</v>
      </c>
      <c r="H131" s="40">
        <v>0.35462203908176693</v>
      </c>
      <c r="I131" s="40">
        <v>0</v>
      </c>
      <c r="J131" s="40">
        <v>0.35462203908176693</v>
      </c>
    </row>
    <row r="132" spans="1:10" ht="11.25" customHeight="1" x14ac:dyDescent="0.2">
      <c r="A132" s="49">
        <v>44682</v>
      </c>
      <c r="B132" s="39">
        <v>80917.267200000002</v>
      </c>
      <c r="C132" s="39">
        <v>109612.31349138817</v>
      </c>
      <c r="D132" s="39">
        <v>0</v>
      </c>
      <c r="E132" s="39">
        <v>0</v>
      </c>
      <c r="F132" s="39">
        <v>0</v>
      </c>
      <c r="G132" s="39">
        <v>0</v>
      </c>
      <c r="H132" s="40">
        <v>0.3546220390817667</v>
      </c>
      <c r="I132" s="40">
        <v>0</v>
      </c>
      <c r="J132" s="40">
        <v>0.3546220390817667</v>
      </c>
    </row>
    <row r="133" spans="1:10" ht="11.25" customHeight="1" x14ac:dyDescent="0.2">
      <c r="A133" s="49">
        <v>44713</v>
      </c>
      <c r="B133" s="39">
        <v>67427.481599999999</v>
      </c>
      <c r="C133" s="39">
        <v>91338.7526151403</v>
      </c>
      <c r="D133" s="39">
        <v>0</v>
      </c>
      <c r="E133" s="39">
        <v>0</v>
      </c>
      <c r="F133" s="39">
        <v>0</v>
      </c>
      <c r="G133" s="39">
        <v>0</v>
      </c>
      <c r="H133" s="40">
        <v>0.3546220390817667</v>
      </c>
      <c r="I133" s="40">
        <v>0</v>
      </c>
      <c r="J133" s="40">
        <v>0.3546220390817667</v>
      </c>
    </row>
    <row r="134" spans="1:10" ht="11.25" customHeight="1" x14ac:dyDescent="0.2">
      <c r="A134" s="49">
        <v>44743</v>
      </c>
      <c r="B134" s="39">
        <v>67491.820800000001</v>
      </c>
      <c r="C134" s="39">
        <v>91425.9079134372</v>
      </c>
      <c r="D134" s="39">
        <v>0</v>
      </c>
      <c r="E134" s="39">
        <v>0</v>
      </c>
      <c r="F134" s="39">
        <v>0</v>
      </c>
      <c r="G134" s="39">
        <v>0</v>
      </c>
      <c r="H134" s="40">
        <v>0.3546220390817667</v>
      </c>
      <c r="I134" s="40">
        <v>0</v>
      </c>
      <c r="J134" s="40">
        <v>0.3546220390817667</v>
      </c>
    </row>
    <row r="135" spans="1:10" ht="11.25" customHeight="1" x14ac:dyDescent="0.2">
      <c r="A135" s="49">
        <v>44774</v>
      </c>
      <c r="B135" s="39">
        <v>85249.44</v>
      </c>
      <c r="C135" s="39">
        <v>115480.77024337873</v>
      </c>
      <c r="D135" s="39">
        <v>0</v>
      </c>
      <c r="E135" s="39">
        <v>0</v>
      </c>
      <c r="F135" s="39">
        <v>0</v>
      </c>
      <c r="G135" s="39">
        <v>0</v>
      </c>
      <c r="H135" s="40">
        <v>0.3546220390817667</v>
      </c>
      <c r="I135" s="40">
        <v>0</v>
      </c>
      <c r="J135" s="40">
        <v>0.3546220390817667</v>
      </c>
    </row>
    <row r="136" spans="1:10" ht="11.25" customHeight="1" x14ac:dyDescent="0.2">
      <c r="A136" s="48" t="s">
        <v>37</v>
      </c>
      <c r="B136" s="39">
        <v>0</v>
      </c>
      <c r="C136" s="39">
        <v>0</v>
      </c>
      <c r="D136" s="39">
        <v>171276.94112640002</v>
      </c>
      <c r="E136" s="39">
        <v>206459.45010864417</v>
      </c>
      <c r="F136" s="39">
        <v>23690.359689600002</v>
      </c>
      <c r="G136" s="39">
        <v>16396.125618274749</v>
      </c>
      <c r="H136" s="40">
        <v>0.20541299226192944</v>
      </c>
      <c r="I136" s="40">
        <v>-0.30789883171454757</v>
      </c>
      <c r="J136" s="40">
        <v>0.14304078065500025</v>
      </c>
    </row>
    <row r="137" spans="1:10" ht="11.25" customHeight="1" x14ac:dyDescent="0.2">
      <c r="A137" s="49">
        <v>44440</v>
      </c>
      <c r="B137" s="39">
        <v>0</v>
      </c>
      <c r="C137" s="39">
        <v>0</v>
      </c>
      <c r="D137" s="39">
        <v>21564.1854528</v>
      </c>
      <c r="E137" s="39">
        <v>25993.749312350821</v>
      </c>
      <c r="F137" s="39">
        <v>2982.6741792000003</v>
      </c>
      <c r="G137" s="39">
        <v>2064.3122840391729</v>
      </c>
      <c r="H137" s="40">
        <v>0.20541299226192966</v>
      </c>
      <c r="I137" s="40">
        <v>-0.30789883171454757</v>
      </c>
      <c r="J137" s="40">
        <v>0.14304078065500025</v>
      </c>
    </row>
    <row r="138" spans="1:10" ht="11.25" customHeight="1" x14ac:dyDescent="0.2">
      <c r="A138" s="49">
        <v>44470</v>
      </c>
      <c r="B138" s="39">
        <v>0</v>
      </c>
      <c r="C138" s="39">
        <v>0</v>
      </c>
      <c r="D138" s="39">
        <v>29587.765708800001</v>
      </c>
      <c r="E138" s="39">
        <v>35665.477197389519</v>
      </c>
      <c r="F138" s="39">
        <v>4092.4645632000006</v>
      </c>
      <c r="G138" s="39">
        <v>2832.3995053575341</v>
      </c>
      <c r="H138" s="40">
        <v>0.20541299226192944</v>
      </c>
      <c r="I138" s="40">
        <v>-0.30789883171454757</v>
      </c>
      <c r="J138" s="40">
        <v>0.14304078065500025</v>
      </c>
    </row>
    <row r="139" spans="1:10" ht="11.25" customHeight="1" x14ac:dyDescent="0.2">
      <c r="A139" s="49">
        <v>44501</v>
      </c>
      <c r="B139" s="39">
        <v>0</v>
      </c>
      <c r="C139" s="39">
        <v>0</v>
      </c>
      <c r="D139" s="39">
        <v>15846.338572800001</v>
      </c>
      <c r="E139" s="39">
        <v>19101.382395434484</v>
      </c>
      <c r="F139" s="39">
        <v>2191.8038592000003</v>
      </c>
      <c r="G139" s="39">
        <v>1516.9500116048832</v>
      </c>
      <c r="H139" s="40">
        <v>0.20541299226192966</v>
      </c>
      <c r="I139" s="40">
        <v>-0.30789883171454768</v>
      </c>
      <c r="J139" s="40">
        <v>0.14304078065500048</v>
      </c>
    </row>
    <row r="140" spans="1:10" ht="11.25" customHeight="1" x14ac:dyDescent="0.2">
      <c r="A140" s="49">
        <v>44531</v>
      </c>
      <c r="B140" s="39">
        <v>0</v>
      </c>
      <c r="C140" s="39">
        <v>0</v>
      </c>
      <c r="D140" s="39">
        <v>7214.7141120000006</v>
      </c>
      <c r="E140" s="39">
        <v>8696.7101260602903</v>
      </c>
      <c r="F140" s="39">
        <v>997.91116800000009</v>
      </c>
      <c r="G140" s="39">
        <v>690.65548521790038</v>
      </c>
      <c r="H140" s="40">
        <v>0.20541299226192944</v>
      </c>
      <c r="I140" s="40">
        <v>-0.30789883171454768</v>
      </c>
      <c r="J140" s="40">
        <v>0.14304078065500025</v>
      </c>
    </row>
    <row r="141" spans="1:10" ht="11.25" customHeight="1" x14ac:dyDescent="0.2">
      <c r="A141" s="49">
        <v>44562</v>
      </c>
      <c r="B141" s="39">
        <v>0</v>
      </c>
      <c r="C141" s="39">
        <v>0</v>
      </c>
      <c r="D141" s="39">
        <v>9103.9279104000016</v>
      </c>
      <c r="E141" s="39">
        <v>10973.992983812161</v>
      </c>
      <c r="F141" s="39">
        <v>1259.2198656000003</v>
      </c>
      <c r="G141" s="39">
        <v>871.5075401100105</v>
      </c>
      <c r="H141" s="40">
        <v>0.20541299226192944</v>
      </c>
      <c r="I141" s="40">
        <v>-0.30789883171454768</v>
      </c>
      <c r="J141" s="40">
        <v>0.14304078065500025</v>
      </c>
    </row>
    <row r="142" spans="1:10" ht="11.25" customHeight="1" x14ac:dyDescent="0.2">
      <c r="A142" s="49">
        <v>44593</v>
      </c>
      <c r="B142" s="39">
        <v>0</v>
      </c>
      <c r="C142" s="39">
        <v>0</v>
      </c>
      <c r="D142" s="39">
        <v>9308.4687744000003</v>
      </c>
      <c r="E142" s="39">
        <v>11220.549198726241</v>
      </c>
      <c r="F142" s="39">
        <v>1287.5111616000002</v>
      </c>
      <c r="G142" s="39">
        <v>891.08797912392004</v>
      </c>
      <c r="H142" s="40">
        <v>0.20541299226192966</v>
      </c>
      <c r="I142" s="40">
        <v>-0.30789883171454757</v>
      </c>
      <c r="J142" s="40">
        <v>0.14304078065500048</v>
      </c>
    </row>
    <row r="143" spans="1:10" ht="11.25" customHeight="1" x14ac:dyDescent="0.2">
      <c r="A143" s="49">
        <v>44621</v>
      </c>
      <c r="B143" s="39">
        <v>0</v>
      </c>
      <c r="C143" s="39">
        <v>0</v>
      </c>
      <c r="D143" s="39">
        <v>7248.1844352000007</v>
      </c>
      <c r="E143" s="39">
        <v>8737.0556885007773</v>
      </c>
      <c r="F143" s="39">
        <v>1002.5406528000001</v>
      </c>
      <c r="G143" s="39">
        <v>693.85955705654021</v>
      </c>
      <c r="H143" s="40">
        <v>0.20541299226192966</v>
      </c>
      <c r="I143" s="40">
        <v>-0.30789883171454757</v>
      </c>
      <c r="J143" s="40">
        <v>0.14304078065500025</v>
      </c>
    </row>
    <row r="144" spans="1:10" ht="11.25" customHeight="1" x14ac:dyDescent="0.2">
      <c r="A144" s="49">
        <v>44652</v>
      </c>
      <c r="B144" s="39">
        <v>0</v>
      </c>
      <c r="C144" s="39">
        <v>0</v>
      </c>
      <c r="D144" s="39">
        <v>8869.6356480000013</v>
      </c>
      <c r="E144" s="39">
        <v>10691.57404672876</v>
      </c>
      <c r="F144" s="39">
        <v>1226.813472</v>
      </c>
      <c r="G144" s="39">
        <v>849.07903723953223</v>
      </c>
      <c r="H144" s="40">
        <v>0.20541299226192944</v>
      </c>
      <c r="I144" s="40">
        <v>-0.30789883171454757</v>
      </c>
      <c r="J144" s="40">
        <v>0.14304078065500048</v>
      </c>
    </row>
    <row r="145" spans="1:10" ht="11.25" customHeight="1" x14ac:dyDescent="0.2">
      <c r="A145" s="49">
        <v>44682</v>
      </c>
      <c r="B145" s="39">
        <v>0</v>
      </c>
      <c r="C145" s="39">
        <v>0</v>
      </c>
      <c r="D145" s="39">
        <v>8849.1815616000004</v>
      </c>
      <c r="E145" s="39">
        <v>10666.918425237352</v>
      </c>
      <c r="F145" s="39">
        <v>1223.9843424000003</v>
      </c>
      <c r="G145" s="39">
        <v>847.12099333814126</v>
      </c>
      <c r="H145" s="40">
        <v>0.20541299226192966</v>
      </c>
      <c r="I145" s="40">
        <v>-0.30789883171454768</v>
      </c>
      <c r="J145" s="40">
        <v>0.14304078065500048</v>
      </c>
    </row>
    <row r="146" spans="1:10" ht="11.25" customHeight="1" x14ac:dyDescent="0.2">
      <c r="A146" s="49">
        <v>44713</v>
      </c>
      <c r="B146" s="39">
        <v>0</v>
      </c>
      <c r="C146" s="39">
        <v>0</v>
      </c>
      <c r="D146" s="39">
        <v>8977.4844671999999</v>
      </c>
      <c r="E146" s="39">
        <v>10821.576414592548</v>
      </c>
      <c r="F146" s="39">
        <v>1241.7307008</v>
      </c>
      <c r="G146" s="39">
        <v>859.4032687195936</v>
      </c>
      <c r="H146" s="40">
        <v>0.20541299226192966</v>
      </c>
      <c r="I146" s="40">
        <v>-0.30789883171454757</v>
      </c>
      <c r="J146" s="40">
        <v>0.14304078065500048</v>
      </c>
    </row>
    <row r="147" spans="1:10" ht="11.25" customHeight="1" x14ac:dyDescent="0.2">
      <c r="A147" s="49">
        <v>44743</v>
      </c>
      <c r="B147" s="39">
        <v>0</v>
      </c>
      <c r="C147" s="39">
        <v>0</v>
      </c>
      <c r="D147" s="39">
        <v>11932.170220799999</v>
      </c>
      <c r="E147" s="39">
        <v>14383.193010033217</v>
      </c>
      <c r="F147" s="39">
        <v>1650.4113311999999</v>
      </c>
      <c r="G147" s="39">
        <v>1142.2516104750687</v>
      </c>
      <c r="H147" s="40">
        <v>0.20541299226192966</v>
      </c>
      <c r="I147" s="40">
        <v>-0.30789883171454757</v>
      </c>
      <c r="J147" s="40">
        <v>0.14304078065500025</v>
      </c>
    </row>
    <row r="148" spans="1:10" ht="11.25" customHeight="1" x14ac:dyDescent="0.2">
      <c r="A148" s="49">
        <v>44774</v>
      </c>
      <c r="B148" s="39">
        <v>0</v>
      </c>
      <c r="C148" s="39">
        <v>0</v>
      </c>
      <c r="D148" s="39">
        <v>32774.884262400003</v>
      </c>
      <c r="E148" s="39">
        <v>39507.271309778014</v>
      </c>
      <c r="F148" s="39">
        <v>4533.2943936000011</v>
      </c>
      <c r="G148" s="39">
        <v>3137.498345992452</v>
      </c>
      <c r="H148" s="40">
        <v>0.20541299226192966</v>
      </c>
      <c r="I148" s="40">
        <v>-0.30789883171454768</v>
      </c>
      <c r="J148" s="40">
        <v>0.14304078065500048</v>
      </c>
    </row>
    <row r="149" spans="1:10" ht="11.25" customHeight="1" x14ac:dyDescent="0.2">
      <c r="A149" s="45" t="s">
        <v>25</v>
      </c>
      <c r="B149" s="39">
        <v>69722.246400000004</v>
      </c>
      <c r="C149" s="39">
        <v>94447.291587729371</v>
      </c>
      <c r="D149" s="39">
        <v>103818.32676479999</v>
      </c>
      <c r="E149" s="39">
        <v>139587.21625697191</v>
      </c>
      <c r="F149" s="39">
        <v>129698.61738240003</v>
      </c>
      <c r="G149" s="39">
        <v>89764.564615366922</v>
      </c>
      <c r="H149" s="40">
        <v>0.34858669403179965</v>
      </c>
      <c r="I149" s="40">
        <v>-0.30789883171454779</v>
      </c>
      <c r="J149" s="40">
        <v>6.780087321750039E-2</v>
      </c>
    </row>
    <row r="150" spans="1:10" ht="11.25" customHeight="1" x14ac:dyDescent="0.2">
      <c r="A150" s="46" t="s">
        <v>25</v>
      </c>
      <c r="B150" s="39">
        <v>69722.246400000004</v>
      </c>
      <c r="C150" s="39">
        <v>94447.291587729371</v>
      </c>
      <c r="D150" s="39">
        <v>103818.32676479999</v>
      </c>
      <c r="E150" s="39">
        <v>139587.21625697191</v>
      </c>
      <c r="F150" s="39">
        <v>129698.61738240003</v>
      </c>
      <c r="G150" s="39">
        <v>89764.564615366922</v>
      </c>
      <c r="H150" s="40">
        <v>0.34858669403179965</v>
      </c>
      <c r="I150" s="40">
        <v>-0.30789883171454779</v>
      </c>
      <c r="J150" s="40">
        <v>6.780087321750039E-2</v>
      </c>
    </row>
    <row r="151" spans="1:10" ht="11.25" customHeight="1" x14ac:dyDescent="0.2">
      <c r="A151" s="47" t="s">
        <v>25</v>
      </c>
      <c r="B151" s="39">
        <v>69722.246400000004</v>
      </c>
      <c r="C151" s="39">
        <v>94447.291587729371</v>
      </c>
      <c r="D151" s="39">
        <v>103818.32676479999</v>
      </c>
      <c r="E151" s="39">
        <v>139587.21625697191</v>
      </c>
      <c r="F151" s="39">
        <v>129698.61738240003</v>
      </c>
      <c r="G151" s="39">
        <v>89764.564615366922</v>
      </c>
      <c r="H151" s="40">
        <v>0.34858669403179965</v>
      </c>
      <c r="I151" s="40">
        <v>-0.30789883171454779</v>
      </c>
      <c r="J151" s="40">
        <v>6.780087321750039E-2</v>
      </c>
    </row>
    <row r="152" spans="1:10" ht="11.25" customHeight="1" x14ac:dyDescent="0.2">
      <c r="A152" s="48" t="s">
        <v>38</v>
      </c>
      <c r="B152" s="39">
        <v>0</v>
      </c>
      <c r="C152" s="39">
        <v>0</v>
      </c>
      <c r="D152" s="39">
        <v>25246.743052800004</v>
      </c>
      <c r="E152" s="39">
        <v>44876.008427931331</v>
      </c>
      <c r="F152" s="39">
        <v>118830.90181440001</v>
      </c>
      <c r="G152" s="39">
        <v>82243.005974160129</v>
      </c>
      <c r="H152" s="40">
        <v>0.77749693630103045</v>
      </c>
      <c r="I152" s="40">
        <v>-0.30789883171454768</v>
      </c>
      <c r="J152" s="40">
        <v>-0.11770480063537792</v>
      </c>
    </row>
    <row r="153" spans="1:10" ht="11.25" customHeight="1" x14ac:dyDescent="0.2">
      <c r="A153" s="49">
        <v>44440</v>
      </c>
      <c r="B153" s="39">
        <v>0</v>
      </c>
      <c r="C153" s="39">
        <v>0</v>
      </c>
      <c r="D153" s="39">
        <v>2662.1620608000003</v>
      </c>
      <c r="E153" s="39">
        <v>4731.9849070088385</v>
      </c>
      <c r="F153" s="39">
        <v>12530.214998400001</v>
      </c>
      <c r="G153" s="39">
        <v>8672.1764392605382</v>
      </c>
      <c r="H153" s="40">
        <v>0.77749693630103067</v>
      </c>
      <c r="I153" s="40">
        <v>-0.30789883171454757</v>
      </c>
      <c r="J153" s="40">
        <v>-0.1177048006353778</v>
      </c>
    </row>
    <row r="154" spans="1:10" ht="11.25" customHeight="1" x14ac:dyDescent="0.2">
      <c r="A154" s="49">
        <v>44470</v>
      </c>
      <c r="B154" s="39">
        <v>0</v>
      </c>
      <c r="C154" s="39">
        <v>0</v>
      </c>
      <c r="D154" s="39">
        <v>1031.1171840000002</v>
      </c>
      <c r="E154" s="39">
        <v>1832.8076355273463</v>
      </c>
      <c r="F154" s="39">
        <v>4853.2432320000007</v>
      </c>
      <c r="G154" s="39">
        <v>3358.9353108406654</v>
      </c>
      <c r="H154" s="40">
        <v>0.77749693630103045</v>
      </c>
      <c r="I154" s="40">
        <v>-0.30789883171454757</v>
      </c>
      <c r="J154" s="40">
        <v>-0.11770480063537792</v>
      </c>
    </row>
    <row r="155" spans="1:10" ht="11.25" customHeight="1" x14ac:dyDescent="0.2">
      <c r="A155" s="49">
        <v>44501</v>
      </c>
      <c r="B155" s="39">
        <v>0</v>
      </c>
      <c r="C155" s="39">
        <v>0</v>
      </c>
      <c r="D155" s="39">
        <v>878.88122880000003</v>
      </c>
      <c r="E155" s="39">
        <v>1562.2086915644852</v>
      </c>
      <c r="F155" s="39">
        <v>4136.7018624000002</v>
      </c>
      <c r="G155" s="39">
        <v>2863.0161918156468</v>
      </c>
      <c r="H155" s="40">
        <v>0.77749693630103067</v>
      </c>
      <c r="I155" s="40">
        <v>-0.30789883171454757</v>
      </c>
      <c r="J155" s="40">
        <v>-0.1177048006353778</v>
      </c>
    </row>
    <row r="156" spans="1:10" ht="11.25" customHeight="1" x14ac:dyDescent="0.2">
      <c r="A156" s="49">
        <v>44531</v>
      </c>
      <c r="B156" s="39">
        <v>0</v>
      </c>
      <c r="C156" s="39">
        <v>0</v>
      </c>
      <c r="D156" s="39">
        <v>860.6850432</v>
      </c>
      <c r="E156" s="39">
        <v>1529.8650274081203</v>
      </c>
      <c r="F156" s="39">
        <v>4051.0563936000003</v>
      </c>
      <c r="G156" s="39">
        <v>2803.7408628008116</v>
      </c>
      <c r="H156" s="40">
        <v>0.77749693630103089</v>
      </c>
      <c r="I156" s="40">
        <v>-0.30789883171454768</v>
      </c>
      <c r="J156" s="40">
        <v>-0.1177048006353778</v>
      </c>
    </row>
    <row r="157" spans="1:10" ht="11.25" customHeight="1" x14ac:dyDescent="0.2">
      <c r="A157" s="49">
        <v>44562</v>
      </c>
      <c r="B157" s="39">
        <v>0</v>
      </c>
      <c r="C157" s="39">
        <v>0</v>
      </c>
      <c r="D157" s="39">
        <v>794.56677120000006</v>
      </c>
      <c r="E157" s="39">
        <v>1412.3400014946021</v>
      </c>
      <c r="F157" s="39">
        <v>3739.8521376000003</v>
      </c>
      <c r="G157" s="39">
        <v>2588.3560336478067</v>
      </c>
      <c r="H157" s="40">
        <v>0.77749693630103067</v>
      </c>
      <c r="I157" s="40">
        <v>-0.30789883171454757</v>
      </c>
      <c r="J157" s="40">
        <v>-0.11770480063537792</v>
      </c>
    </row>
    <row r="158" spans="1:10" ht="11.25" customHeight="1" x14ac:dyDescent="0.2">
      <c r="A158" s="49">
        <v>44593</v>
      </c>
      <c r="B158" s="39">
        <v>0</v>
      </c>
      <c r="C158" s="39">
        <v>0</v>
      </c>
      <c r="D158" s="39">
        <v>774.45807360000003</v>
      </c>
      <c r="E158" s="39">
        <v>1376.5968531175981</v>
      </c>
      <c r="F158" s="39">
        <v>3645.2048928000004</v>
      </c>
      <c r="G158" s="39">
        <v>2522.8505649467274</v>
      </c>
      <c r="H158" s="40">
        <v>0.77749693630103067</v>
      </c>
      <c r="I158" s="40">
        <v>-0.30789883171454757</v>
      </c>
      <c r="J158" s="40">
        <v>-0.1177048006353778</v>
      </c>
    </row>
    <row r="159" spans="1:10" ht="11.25" customHeight="1" x14ac:dyDescent="0.2">
      <c r="A159" s="49">
        <v>44621</v>
      </c>
      <c r="B159" s="39">
        <v>0</v>
      </c>
      <c r="C159" s="39">
        <v>0</v>
      </c>
      <c r="D159" s="39">
        <v>976.09148159999995</v>
      </c>
      <c r="E159" s="39">
        <v>1734.9996180935339</v>
      </c>
      <c r="F159" s="39">
        <v>4594.2492768000002</v>
      </c>
      <c r="G159" s="39">
        <v>3179.6852918678746</v>
      </c>
      <c r="H159" s="40">
        <v>0.77749693630103067</v>
      </c>
      <c r="I159" s="40">
        <v>-0.30789883171454768</v>
      </c>
      <c r="J159" s="40">
        <v>-0.1177048006353778</v>
      </c>
    </row>
    <row r="160" spans="1:10" ht="11.25" customHeight="1" x14ac:dyDescent="0.2">
      <c r="A160" s="49">
        <v>44652</v>
      </c>
      <c r="B160" s="39">
        <v>0</v>
      </c>
      <c r="C160" s="39">
        <v>0</v>
      </c>
      <c r="D160" s="39">
        <v>796.20606720000001</v>
      </c>
      <c r="E160" s="39">
        <v>1415.2538451122925</v>
      </c>
      <c r="F160" s="39">
        <v>3747.5679456000007</v>
      </c>
      <c r="G160" s="39">
        <v>2593.6961533788731</v>
      </c>
      <c r="H160" s="40">
        <v>0.77749693630103067</v>
      </c>
      <c r="I160" s="40">
        <v>-0.30789883171454768</v>
      </c>
      <c r="J160" s="40">
        <v>-0.11770480063537792</v>
      </c>
    </row>
    <row r="161" spans="1:10" ht="11.25" customHeight="1" x14ac:dyDescent="0.2">
      <c r="A161" s="49">
        <v>44682</v>
      </c>
      <c r="B161" s="39">
        <v>0</v>
      </c>
      <c r="C161" s="39">
        <v>0</v>
      </c>
      <c r="D161" s="39">
        <v>3924.3106944000006</v>
      </c>
      <c r="E161" s="39">
        <v>6975.4502363893707</v>
      </c>
      <c r="F161" s="39">
        <v>18470.872771200004</v>
      </c>
      <c r="G161" s="39">
        <v>12783.712624199474</v>
      </c>
      <c r="H161" s="40">
        <v>0.77749693630103045</v>
      </c>
      <c r="I161" s="40">
        <v>-0.30789883171454757</v>
      </c>
      <c r="J161" s="40">
        <v>-0.11770480063537792</v>
      </c>
    </row>
    <row r="162" spans="1:10" ht="11.25" customHeight="1" x14ac:dyDescent="0.2">
      <c r="A162" s="49">
        <v>44713</v>
      </c>
      <c r="B162" s="39">
        <v>0</v>
      </c>
      <c r="C162" s="39">
        <v>0</v>
      </c>
      <c r="D162" s="39">
        <v>4728.8225280000006</v>
      </c>
      <c r="E162" s="39">
        <v>8405.4675558312956</v>
      </c>
      <c r="F162" s="39">
        <v>22257.534144000001</v>
      </c>
      <c r="G162" s="39">
        <v>15404.465384215748</v>
      </c>
      <c r="H162" s="40">
        <v>0.77749693630103067</v>
      </c>
      <c r="I162" s="40">
        <v>-0.30789883171454757</v>
      </c>
      <c r="J162" s="40">
        <v>-0.1177048006353778</v>
      </c>
    </row>
    <row r="163" spans="1:10" ht="11.25" customHeight="1" x14ac:dyDescent="0.2">
      <c r="A163" s="49">
        <v>44743</v>
      </c>
      <c r="B163" s="39">
        <v>0</v>
      </c>
      <c r="C163" s="39">
        <v>0</v>
      </c>
      <c r="D163" s="39">
        <v>3891.3062016000003</v>
      </c>
      <c r="E163" s="39">
        <v>6916.7848515532014</v>
      </c>
      <c r="F163" s="39">
        <v>18315.527836800004</v>
      </c>
      <c r="G163" s="39">
        <v>12676.198213614005</v>
      </c>
      <c r="H163" s="40">
        <v>0.77749693630103067</v>
      </c>
      <c r="I163" s="40">
        <v>-0.30789883171454768</v>
      </c>
      <c r="J163" s="40">
        <v>-0.11770480063537803</v>
      </c>
    </row>
    <row r="164" spans="1:10" ht="11.25" customHeight="1" x14ac:dyDescent="0.2">
      <c r="A164" s="49">
        <v>44774</v>
      </c>
      <c r="B164" s="39">
        <v>0</v>
      </c>
      <c r="C164" s="39">
        <v>0</v>
      </c>
      <c r="D164" s="39">
        <v>3928.1357184000003</v>
      </c>
      <c r="E164" s="39">
        <v>6982.2492048306485</v>
      </c>
      <c r="F164" s="39">
        <v>18488.876323200002</v>
      </c>
      <c r="G164" s="39">
        <v>12796.172903571962</v>
      </c>
      <c r="H164" s="40">
        <v>0.77749693630103067</v>
      </c>
      <c r="I164" s="40">
        <v>-0.30789883171454757</v>
      </c>
      <c r="J164" s="40">
        <v>-0.1177048006353778</v>
      </c>
    </row>
    <row r="165" spans="1:10" ht="11.25" customHeight="1" x14ac:dyDescent="0.2">
      <c r="A165" s="48" t="s">
        <v>25</v>
      </c>
      <c r="B165" s="39">
        <v>69722.246400000004</v>
      </c>
      <c r="C165" s="39">
        <v>94447.291587729371</v>
      </c>
      <c r="D165" s="39">
        <v>0</v>
      </c>
      <c r="E165" s="39">
        <v>0</v>
      </c>
      <c r="F165" s="39">
        <v>0</v>
      </c>
      <c r="G165" s="39">
        <v>0</v>
      </c>
      <c r="H165" s="40">
        <v>0.3546220390817667</v>
      </c>
      <c r="I165" s="40">
        <v>0</v>
      </c>
      <c r="J165" s="40">
        <v>0.3546220390817667</v>
      </c>
    </row>
    <row r="166" spans="1:10" ht="11.25" customHeight="1" x14ac:dyDescent="0.2">
      <c r="A166" s="49">
        <v>44440</v>
      </c>
      <c r="B166" s="39">
        <v>6069.3312000000005</v>
      </c>
      <c r="C166" s="39">
        <v>8221.649806006586</v>
      </c>
      <c r="D166" s="39">
        <v>0</v>
      </c>
      <c r="E166" s="39">
        <v>0</v>
      </c>
      <c r="F166" s="39">
        <v>0</v>
      </c>
      <c r="G166" s="39">
        <v>0</v>
      </c>
      <c r="H166" s="40">
        <v>0.35462203908176648</v>
      </c>
      <c r="I166" s="40">
        <v>0</v>
      </c>
      <c r="J166" s="40">
        <v>0.35462203908176648</v>
      </c>
    </row>
    <row r="167" spans="1:10" ht="11.25" customHeight="1" x14ac:dyDescent="0.2">
      <c r="A167" s="49">
        <v>44470</v>
      </c>
      <c r="B167" s="39">
        <v>5147.1360000000004</v>
      </c>
      <c r="C167" s="39">
        <v>6972.4238637511689</v>
      </c>
      <c r="D167" s="39">
        <v>0</v>
      </c>
      <c r="E167" s="39">
        <v>0</v>
      </c>
      <c r="F167" s="39">
        <v>0</v>
      </c>
      <c r="G167" s="39">
        <v>0</v>
      </c>
      <c r="H167" s="40">
        <v>0.3546220390817667</v>
      </c>
      <c r="I167" s="40">
        <v>0</v>
      </c>
      <c r="J167" s="40">
        <v>0.3546220390817667</v>
      </c>
    </row>
    <row r="168" spans="1:10" ht="11.25" customHeight="1" x14ac:dyDescent="0.2">
      <c r="A168" s="49">
        <v>44501</v>
      </c>
      <c r="B168" s="39">
        <v>16041.907200000001</v>
      </c>
      <c r="C168" s="39">
        <v>21730.721042024477</v>
      </c>
      <c r="D168" s="39">
        <v>0</v>
      </c>
      <c r="E168" s="39">
        <v>0</v>
      </c>
      <c r="F168" s="39">
        <v>0</v>
      </c>
      <c r="G168" s="39">
        <v>0</v>
      </c>
      <c r="H168" s="40">
        <v>0.3546220390817667</v>
      </c>
      <c r="I168" s="40">
        <v>0</v>
      </c>
      <c r="J168" s="40">
        <v>0.3546220390817667</v>
      </c>
    </row>
    <row r="169" spans="1:10" ht="11.25" customHeight="1" x14ac:dyDescent="0.2">
      <c r="A169" s="49">
        <v>44531</v>
      </c>
      <c r="B169" s="39">
        <v>3774.5664000000002</v>
      </c>
      <c r="C169" s="39">
        <v>5113.1108334175242</v>
      </c>
      <c r="D169" s="39">
        <v>0</v>
      </c>
      <c r="E169" s="39">
        <v>0</v>
      </c>
      <c r="F169" s="39">
        <v>0</v>
      </c>
      <c r="G169" s="39">
        <v>0</v>
      </c>
      <c r="H169" s="40">
        <v>0.35462203908176693</v>
      </c>
      <c r="I169" s="40">
        <v>0</v>
      </c>
      <c r="J169" s="40">
        <v>0.35462203908176693</v>
      </c>
    </row>
    <row r="170" spans="1:10" ht="11.25" customHeight="1" x14ac:dyDescent="0.2">
      <c r="A170" s="49">
        <v>44562</v>
      </c>
      <c r="B170" s="39">
        <v>3152.6208000000001</v>
      </c>
      <c r="C170" s="39">
        <v>4270.609616547591</v>
      </c>
      <c r="D170" s="39">
        <v>0</v>
      </c>
      <c r="E170" s="39">
        <v>0</v>
      </c>
      <c r="F170" s="39">
        <v>0</v>
      </c>
      <c r="G170" s="39">
        <v>0</v>
      </c>
      <c r="H170" s="40">
        <v>0.3546220390817667</v>
      </c>
      <c r="I170" s="40">
        <v>0</v>
      </c>
      <c r="J170" s="40">
        <v>0.3546220390817667</v>
      </c>
    </row>
    <row r="171" spans="1:10" ht="11.25" customHeight="1" x14ac:dyDescent="0.2">
      <c r="A171" s="49">
        <v>44593</v>
      </c>
      <c r="B171" s="39">
        <v>3388.5312000000004</v>
      </c>
      <c r="C171" s="39">
        <v>4590.1790436361862</v>
      </c>
      <c r="D171" s="39">
        <v>0</v>
      </c>
      <c r="E171" s="39">
        <v>0</v>
      </c>
      <c r="F171" s="39">
        <v>0</v>
      </c>
      <c r="G171" s="39">
        <v>0</v>
      </c>
      <c r="H171" s="40">
        <v>0.3546220390817667</v>
      </c>
      <c r="I171" s="40">
        <v>0</v>
      </c>
      <c r="J171" s="40">
        <v>0.3546220390817667</v>
      </c>
    </row>
    <row r="172" spans="1:10" ht="11.25" customHeight="1" x14ac:dyDescent="0.2">
      <c r="A172" s="49">
        <v>44621</v>
      </c>
      <c r="B172" s="39">
        <v>3388.5312000000004</v>
      </c>
      <c r="C172" s="39">
        <v>4590.1790436361862</v>
      </c>
      <c r="D172" s="39">
        <v>0</v>
      </c>
      <c r="E172" s="39">
        <v>0</v>
      </c>
      <c r="F172" s="39">
        <v>0</v>
      </c>
      <c r="G172" s="39">
        <v>0</v>
      </c>
      <c r="H172" s="40">
        <v>0.3546220390817667</v>
      </c>
      <c r="I172" s="40">
        <v>0</v>
      </c>
      <c r="J172" s="40">
        <v>0.3546220390817667</v>
      </c>
    </row>
    <row r="173" spans="1:10" ht="11.25" customHeight="1" x14ac:dyDescent="0.2">
      <c r="A173" s="49">
        <v>44652</v>
      </c>
      <c r="B173" s="39">
        <v>3238.4064000000003</v>
      </c>
      <c r="C173" s="39">
        <v>4386.8166809434442</v>
      </c>
      <c r="D173" s="39">
        <v>0</v>
      </c>
      <c r="E173" s="39">
        <v>0</v>
      </c>
      <c r="F173" s="39">
        <v>0</v>
      </c>
      <c r="G173" s="39">
        <v>0</v>
      </c>
      <c r="H173" s="40">
        <v>0.35462203908176693</v>
      </c>
      <c r="I173" s="40">
        <v>0</v>
      </c>
      <c r="J173" s="40">
        <v>0.35462203908176693</v>
      </c>
    </row>
    <row r="174" spans="1:10" ht="11.25" customHeight="1" x14ac:dyDescent="0.2">
      <c r="A174" s="49">
        <v>44682</v>
      </c>
      <c r="B174" s="39">
        <v>9972.5759999999991</v>
      </c>
      <c r="C174" s="39">
        <v>13509.07123601789</v>
      </c>
      <c r="D174" s="39">
        <v>0</v>
      </c>
      <c r="E174" s="39">
        <v>0</v>
      </c>
      <c r="F174" s="39">
        <v>0</v>
      </c>
      <c r="G174" s="39">
        <v>0</v>
      </c>
      <c r="H174" s="40">
        <v>0.35462203908176693</v>
      </c>
      <c r="I174" s="40">
        <v>0</v>
      </c>
      <c r="J174" s="40">
        <v>0.35462203908176693</v>
      </c>
    </row>
    <row r="175" spans="1:10" ht="11.25" customHeight="1" x14ac:dyDescent="0.2">
      <c r="A175" s="49">
        <v>44713</v>
      </c>
      <c r="B175" s="39">
        <v>5576.0639999999994</v>
      </c>
      <c r="C175" s="39">
        <v>7553.4591857304331</v>
      </c>
      <c r="D175" s="39">
        <v>0</v>
      </c>
      <c r="E175" s="39">
        <v>0</v>
      </c>
      <c r="F175" s="39">
        <v>0</v>
      </c>
      <c r="G175" s="39">
        <v>0</v>
      </c>
      <c r="H175" s="40">
        <v>0.35462203908176693</v>
      </c>
      <c r="I175" s="40">
        <v>0</v>
      </c>
      <c r="J175" s="40">
        <v>0.35462203908176693</v>
      </c>
    </row>
    <row r="176" spans="1:10" ht="11.25" customHeight="1" x14ac:dyDescent="0.2">
      <c r="A176" s="49">
        <v>44743</v>
      </c>
      <c r="B176" s="39">
        <v>5082.7968000000001</v>
      </c>
      <c r="C176" s="39">
        <v>6885.2685654542793</v>
      </c>
      <c r="D176" s="39">
        <v>0</v>
      </c>
      <c r="E176" s="39">
        <v>0</v>
      </c>
      <c r="F176" s="39">
        <v>0</v>
      </c>
      <c r="G176" s="39">
        <v>0</v>
      </c>
      <c r="H176" s="40">
        <v>0.3546220390817667</v>
      </c>
      <c r="I176" s="40">
        <v>0</v>
      </c>
      <c r="J176" s="40">
        <v>0.3546220390817667</v>
      </c>
    </row>
    <row r="177" spans="1:10" ht="11.25" customHeight="1" x14ac:dyDescent="0.2">
      <c r="A177" s="49">
        <v>44774</v>
      </c>
      <c r="B177" s="39">
        <v>4889.7791999999999</v>
      </c>
      <c r="C177" s="39">
        <v>6623.8026705636103</v>
      </c>
      <c r="D177" s="39">
        <v>0</v>
      </c>
      <c r="E177" s="39">
        <v>0</v>
      </c>
      <c r="F177" s="39">
        <v>0</v>
      </c>
      <c r="G177" s="39">
        <v>0</v>
      </c>
      <c r="H177" s="40">
        <v>0.3546220390817667</v>
      </c>
      <c r="I177" s="40">
        <v>0</v>
      </c>
      <c r="J177" s="40">
        <v>0.3546220390817667</v>
      </c>
    </row>
    <row r="178" spans="1:10" ht="11.25" customHeight="1" x14ac:dyDescent="0.2">
      <c r="A178" s="48" t="s">
        <v>37</v>
      </c>
      <c r="B178" s="39">
        <v>0</v>
      </c>
      <c r="C178" s="39">
        <v>0</v>
      </c>
      <c r="D178" s="39">
        <v>78571.583712000007</v>
      </c>
      <c r="E178" s="39">
        <v>94711.207829040606</v>
      </c>
      <c r="F178" s="39">
        <v>10867.715568</v>
      </c>
      <c r="G178" s="39">
        <v>7521.5586412067987</v>
      </c>
      <c r="H178" s="40">
        <v>0.20541299226192944</v>
      </c>
      <c r="I178" s="40">
        <v>-0.30789883171454757</v>
      </c>
      <c r="J178" s="40">
        <v>0.14304078065500003</v>
      </c>
    </row>
    <row r="179" spans="1:10" ht="11.25" customHeight="1" x14ac:dyDescent="0.2">
      <c r="A179" s="49">
        <v>44440</v>
      </c>
      <c r="B179" s="39">
        <v>0</v>
      </c>
      <c r="C179" s="39">
        <v>0</v>
      </c>
      <c r="D179" s="39">
        <v>7897.1368128000004</v>
      </c>
      <c r="E179" s="39">
        <v>9519.3113158190863</v>
      </c>
      <c r="F179" s="39">
        <v>1092.3012192000001</v>
      </c>
      <c r="G179" s="39">
        <v>755.98294992794399</v>
      </c>
      <c r="H179" s="40">
        <v>0.20541299226192966</v>
      </c>
      <c r="I179" s="40">
        <v>-0.30789883171454768</v>
      </c>
      <c r="J179" s="40">
        <v>0.14304078065500048</v>
      </c>
    </row>
    <row r="180" spans="1:10" ht="11.25" customHeight="1" x14ac:dyDescent="0.2">
      <c r="A180" s="49">
        <v>44470</v>
      </c>
      <c r="B180" s="39">
        <v>0</v>
      </c>
      <c r="C180" s="39">
        <v>0</v>
      </c>
      <c r="D180" s="39">
        <v>2817.085536</v>
      </c>
      <c r="E180" s="39">
        <v>3395.7515054075616</v>
      </c>
      <c r="F180" s="39">
        <v>389.648304</v>
      </c>
      <c r="G180" s="39">
        <v>269.67604641884509</v>
      </c>
      <c r="H180" s="40">
        <v>0.20541299226192944</v>
      </c>
      <c r="I180" s="40">
        <v>-0.30789883171454768</v>
      </c>
      <c r="J180" s="40">
        <v>0.14304078065500025</v>
      </c>
    </row>
    <row r="181" spans="1:10" ht="11.25" customHeight="1" x14ac:dyDescent="0.2">
      <c r="A181" s="49">
        <v>44501</v>
      </c>
      <c r="B181" s="39">
        <v>0</v>
      </c>
      <c r="C181" s="39">
        <v>0</v>
      </c>
      <c r="D181" s="39">
        <v>2618.1230592000002</v>
      </c>
      <c r="E181" s="39">
        <v>3155.9195509002293</v>
      </c>
      <c r="F181" s="39">
        <v>362.12858880000005</v>
      </c>
      <c r="G181" s="39">
        <v>250.62961937804221</v>
      </c>
      <c r="H181" s="40">
        <v>0.20541299226192966</v>
      </c>
      <c r="I181" s="40">
        <v>-0.30789883171454768</v>
      </c>
      <c r="J181" s="40">
        <v>0.14304078065500025</v>
      </c>
    </row>
    <row r="182" spans="1:10" ht="11.25" customHeight="1" x14ac:dyDescent="0.2">
      <c r="A182" s="49">
        <v>44531</v>
      </c>
      <c r="B182" s="39">
        <v>0</v>
      </c>
      <c r="C182" s="39">
        <v>0</v>
      </c>
      <c r="D182" s="39">
        <v>2575.3554239999999</v>
      </c>
      <c r="E182" s="39">
        <v>3104.3668877818304</v>
      </c>
      <c r="F182" s="39">
        <v>356.21313600000002</v>
      </c>
      <c r="G182" s="39">
        <v>246.53552758422472</v>
      </c>
      <c r="H182" s="40">
        <v>0.20541299226192966</v>
      </c>
      <c r="I182" s="40">
        <v>-0.30789883171454768</v>
      </c>
      <c r="J182" s="40">
        <v>0.14304078065500048</v>
      </c>
    </row>
    <row r="183" spans="1:10" ht="11.25" customHeight="1" x14ac:dyDescent="0.2">
      <c r="A183" s="49">
        <v>44562</v>
      </c>
      <c r="B183" s="39">
        <v>0</v>
      </c>
      <c r="C183" s="39">
        <v>0</v>
      </c>
      <c r="D183" s="39">
        <v>2311.3117631999999</v>
      </c>
      <c r="E183" s="39">
        <v>2786.0852285291085</v>
      </c>
      <c r="F183" s="39">
        <v>319.69164480000001</v>
      </c>
      <c r="G183" s="39">
        <v>221.25896085717787</v>
      </c>
      <c r="H183" s="40">
        <v>0.20541299226192966</v>
      </c>
      <c r="I183" s="40">
        <v>-0.30789883171454768</v>
      </c>
      <c r="J183" s="40">
        <v>0.14304078065500025</v>
      </c>
    </row>
    <row r="184" spans="1:10" ht="11.25" customHeight="1" x14ac:dyDescent="0.2">
      <c r="A184" s="49">
        <v>44593</v>
      </c>
      <c r="B184" s="39">
        <v>0</v>
      </c>
      <c r="C184" s="39">
        <v>0</v>
      </c>
      <c r="D184" s="39">
        <v>2225.7764927999997</v>
      </c>
      <c r="E184" s="39">
        <v>2682.9799022923112</v>
      </c>
      <c r="F184" s="39">
        <v>307.86073920000001</v>
      </c>
      <c r="G184" s="39">
        <v>213.07077726954296</v>
      </c>
      <c r="H184" s="40">
        <v>0.20541299226192966</v>
      </c>
      <c r="I184" s="40">
        <v>-0.30789883171454768</v>
      </c>
      <c r="J184" s="40">
        <v>0.14304078065500048</v>
      </c>
    </row>
    <row r="185" spans="1:10" ht="11.25" customHeight="1" x14ac:dyDescent="0.2">
      <c r="A185" s="49">
        <v>44621</v>
      </c>
      <c r="B185" s="39">
        <v>0</v>
      </c>
      <c r="C185" s="39">
        <v>0</v>
      </c>
      <c r="D185" s="39">
        <v>2783.6152127999999</v>
      </c>
      <c r="E185" s="39">
        <v>3355.405942967076</v>
      </c>
      <c r="F185" s="39">
        <v>385.0188192</v>
      </c>
      <c r="G185" s="39">
        <v>266.47197458020537</v>
      </c>
      <c r="H185" s="40">
        <v>0.20541299226192966</v>
      </c>
      <c r="I185" s="40">
        <v>-0.30789883171454757</v>
      </c>
      <c r="J185" s="40">
        <v>0.14304078065500048</v>
      </c>
    </row>
    <row r="186" spans="1:10" ht="11.25" customHeight="1" x14ac:dyDescent="0.2">
      <c r="A186" s="49">
        <v>44652</v>
      </c>
      <c r="B186" s="39">
        <v>0</v>
      </c>
      <c r="C186" s="39">
        <v>0</v>
      </c>
      <c r="D186" s="39">
        <v>2326.1874624000002</v>
      </c>
      <c r="E186" s="39">
        <v>2804.0165896137692</v>
      </c>
      <c r="F186" s="39">
        <v>321.74919360000001</v>
      </c>
      <c r="G186" s="39">
        <v>222.68299278546223</v>
      </c>
      <c r="H186" s="40">
        <v>0.20541299226192966</v>
      </c>
      <c r="I186" s="40">
        <v>-0.30789883171454757</v>
      </c>
      <c r="J186" s="40">
        <v>0.14304078065500048</v>
      </c>
    </row>
    <row r="187" spans="1:10" ht="11.25" customHeight="1" x14ac:dyDescent="0.2">
      <c r="A187" s="49">
        <v>44682</v>
      </c>
      <c r="B187" s="39">
        <v>0</v>
      </c>
      <c r="C187" s="39">
        <v>0</v>
      </c>
      <c r="D187" s="39">
        <v>12566.246899200001</v>
      </c>
      <c r="E187" s="39">
        <v>15147.517276266868</v>
      </c>
      <c r="F187" s="39">
        <v>1738.1143488000002</v>
      </c>
      <c r="G187" s="39">
        <v>1202.9509714181884</v>
      </c>
      <c r="H187" s="40">
        <v>0.20541299226192966</v>
      </c>
      <c r="I187" s="40">
        <v>-0.30789883171454768</v>
      </c>
      <c r="J187" s="40">
        <v>0.14304078065500025</v>
      </c>
    </row>
    <row r="188" spans="1:10" ht="11.25" customHeight="1" x14ac:dyDescent="0.2">
      <c r="A188" s="49">
        <v>44713</v>
      </c>
      <c r="B188" s="39">
        <v>0</v>
      </c>
      <c r="C188" s="39">
        <v>0</v>
      </c>
      <c r="D188" s="39">
        <v>15572.997599999999</v>
      </c>
      <c r="E188" s="39">
        <v>18771.893635503846</v>
      </c>
      <c r="F188" s="39">
        <v>2153.9964</v>
      </c>
      <c r="G188" s="39">
        <v>1490.7834249226585</v>
      </c>
      <c r="H188" s="40">
        <v>0.20541299226192944</v>
      </c>
      <c r="I188" s="40">
        <v>-0.30789883171454768</v>
      </c>
      <c r="J188" s="40">
        <v>0.14304078065500025</v>
      </c>
    </row>
    <row r="189" spans="1:10" ht="11.25" customHeight="1" x14ac:dyDescent="0.2">
      <c r="A189" s="49">
        <v>44743</v>
      </c>
      <c r="B189" s="39">
        <v>0</v>
      </c>
      <c r="C189" s="39">
        <v>0</v>
      </c>
      <c r="D189" s="39">
        <v>11303.671929600001</v>
      </c>
      <c r="E189" s="39">
        <v>13625.593004206316</v>
      </c>
      <c r="F189" s="39">
        <v>1563.4798944000001</v>
      </c>
      <c r="G189" s="39">
        <v>1082.0862615050557</v>
      </c>
      <c r="H189" s="40">
        <v>0.20541299226192944</v>
      </c>
      <c r="I189" s="40">
        <v>-0.30789883171454768</v>
      </c>
      <c r="J189" s="40">
        <v>0.14304078065500025</v>
      </c>
    </row>
    <row r="190" spans="1:10" ht="11.25" customHeight="1" x14ac:dyDescent="0.2">
      <c r="A190" s="49">
        <v>44774</v>
      </c>
      <c r="B190" s="39">
        <v>0</v>
      </c>
      <c r="C190" s="39">
        <v>0</v>
      </c>
      <c r="D190" s="39">
        <v>13574.07552</v>
      </c>
      <c r="E190" s="39">
        <v>16362.366989752609</v>
      </c>
      <c r="F190" s="39">
        <v>1877.5132800000001</v>
      </c>
      <c r="G190" s="39">
        <v>1299.4291345594518</v>
      </c>
      <c r="H190" s="40">
        <v>0.20541299226192966</v>
      </c>
      <c r="I190" s="40">
        <v>-0.30789883171454757</v>
      </c>
      <c r="J190" s="40">
        <v>0.14304078065500025</v>
      </c>
    </row>
    <row r="191" spans="1:10" ht="11.25" customHeight="1" x14ac:dyDescent="0.2">
      <c r="A191" s="42" t="s">
        <v>22</v>
      </c>
      <c r="B191" s="39">
        <v>0</v>
      </c>
      <c r="C191" s="39">
        <v>0</v>
      </c>
      <c r="D191" s="39">
        <v>2599820.9265599996</v>
      </c>
      <c r="E191" s="39">
        <v>3225399.0775750312</v>
      </c>
      <c r="F191" s="39">
        <v>1905034.3139400014</v>
      </c>
      <c r="G191" s="39">
        <v>1318475.8953577385</v>
      </c>
      <c r="H191" s="40">
        <v>0.24062355396253277</v>
      </c>
      <c r="I191" s="40">
        <v>-0.30789913561669102</v>
      </c>
      <c r="J191" s="40">
        <v>8.6617061702605191E-3</v>
      </c>
    </row>
    <row r="192" spans="1:10" ht="11.25" customHeight="1" x14ac:dyDescent="0.2">
      <c r="A192" s="43" t="s">
        <v>23</v>
      </c>
      <c r="B192" s="39">
        <v>0</v>
      </c>
      <c r="C192" s="39">
        <v>0</v>
      </c>
      <c r="D192" s="39">
        <v>2599820.9265599996</v>
      </c>
      <c r="E192" s="39">
        <v>3225399.0775750312</v>
      </c>
      <c r="F192" s="39">
        <v>1905034.3139400014</v>
      </c>
      <c r="G192" s="39">
        <v>1318475.8953577385</v>
      </c>
      <c r="H192" s="40">
        <v>0.24062355396253277</v>
      </c>
      <c r="I192" s="40">
        <v>-0.30789913561669102</v>
      </c>
      <c r="J192" s="40">
        <v>8.6617061702605191E-3</v>
      </c>
    </row>
    <row r="193" spans="1:10" ht="11.25" customHeight="1" x14ac:dyDescent="0.2">
      <c r="A193" s="44" t="s">
        <v>24</v>
      </c>
      <c r="B193" s="39">
        <v>0</v>
      </c>
      <c r="C193" s="39">
        <v>0</v>
      </c>
      <c r="D193" s="39">
        <v>2599820.9265599996</v>
      </c>
      <c r="E193" s="39">
        <v>3225399.0775750312</v>
      </c>
      <c r="F193" s="39">
        <v>1905034.3139400014</v>
      </c>
      <c r="G193" s="39">
        <v>1318475.8953577385</v>
      </c>
      <c r="H193" s="40">
        <v>0.24062355396253277</v>
      </c>
      <c r="I193" s="40">
        <v>-0.30789913561669102</v>
      </c>
      <c r="J193" s="40">
        <v>8.6617061702605191E-3</v>
      </c>
    </row>
    <row r="194" spans="1:10" ht="11.25" customHeight="1" x14ac:dyDescent="0.2">
      <c r="A194" s="45" t="s">
        <v>24</v>
      </c>
      <c r="B194" s="39">
        <v>0</v>
      </c>
      <c r="C194" s="39">
        <v>0</v>
      </c>
      <c r="D194" s="39">
        <v>2515170.5947500002</v>
      </c>
      <c r="E194" s="39">
        <v>3131153.782554816</v>
      </c>
      <c r="F194" s="39">
        <v>1832329.9905900005</v>
      </c>
      <c r="G194" s="39">
        <v>1268157.7271718113</v>
      </c>
      <c r="H194" s="40">
        <v>0.244907120451622</v>
      </c>
      <c r="I194" s="40">
        <v>-0.30789883171454768</v>
      </c>
      <c r="J194" s="40">
        <v>1.191740480986625E-2</v>
      </c>
    </row>
    <row r="195" spans="1:10" ht="11.25" customHeight="1" x14ac:dyDescent="0.2">
      <c r="A195" s="46" t="s">
        <v>25</v>
      </c>
      <c r="B195" s="39">
        <v>0</v>
      </c>
      <c r="C195" s="39">
        <v>0</v>
      </c>
      <c r="D195" s="39">
        <v>2515170.5947500002</v>
      </c>
      <c r="E195" s="39">
        <v>3131153.782554816</v>
      </c>
      <c r="F195" s="39">
        <v>1832329.9905900005</v>
      </c>
      <c r="G195" s="39">
        <v>1268157.7271718113</v>
      </c>
      <c r="H195" s="40">
        <v>0.244907120451622</v>
      </c>
      <c r="I195" s="40">
        <v>-0.30789883171454768</v>
      </c>
      <c r="J195" s="40">
        <v>1.191740480986625E-2</v>
      </c>
    </row>
    <row r="196" spans="1:10" ht="11.25" customHeight="1" x14ac:dyDescent="0.2">
      <c r="A196" s="47" t="s">
        <v>25</v>
      </c>
      <c r="B196" s="39">
        <v>0</v>
      </c>
      <c r="C196" s="39">
        <v>0</v>
      </c>
      <c r="D196" s="39">
        <v>2515170.5947500002</v>
      </c>
      <c r="E196" s="39">
        <v>3131153.782554816</v>
      </c>
      <c r="F196" s="39">
        <v>1832329.9905900005</v>
      </c>
      <c r="G196" s="39">
        <v>1268157.7271718113</v>
      </c>
      <c r="H196" s="40">
        <v>0.244907120451622</v>
      </c>
      <c r="I196" s="40">
        <v>-0.30789883171454768</v>
      </c>
      <c r="J196" s="40">
        <v>1.191740480986625E-2</v>
      </c>
    </row>
    <row r="197" spans="1:10" ht="11.25" customHeight="1" x14ac:dyDescent="0.2">
      <c r="A197" s="48" t="s">
        <v>25</v>
      </c>
      <c r="B197" s="39">
        <v>0</v>
      </c>
      <c r="C197" s="39">
        <v>0</v>
      </c>
      <c r="D197" s="39">
        <v>2515170.5947500002</v>
      </c>
      <c r="E197" s="39">
        <v>3131153.782554816</v>
      </c>
      <c r="F197" s="39">
        <v>1832329.9905900005</v>
      </c>
      <c r="G197" s="39">
        <v>1268157.7271718113</v>
      </c>
      <c r="H197" s="40">
        <v>0.244907120451622</v>
      </c>
      <c r="I197" s="40">
        <v>-0.30789883171454768</v>
      </c>
      <c r="J197" s="40">
        <v>1.191740480986625E-2</v>
      </c>
    </row>
    <row r="198" spans="1:10" ht="11.25" customHeight="1" x14ac:dyDescent="0.2">
      <c r="A198" s="49">
        <v>44440</v>
      </c>
      <c r="B198" s="39">
        <v>0</v>
      </c>
      <c r="C198" s="39">
        <v>0</v>
      </c>
      <c r="D198" s="39">
        <v>200741.11825000003</v>
      </c>
      <c r="E198" s="39">
        <v>249904.04747684606</v>
      </c>
      <c r="F198" s="39">
        <v>146242.15633000003</v>
      </c>
      <c r="G198" s="39">
        <v>101214.36724857677</v>
      </c>
      <c r="H198" s="40">
        <v>0.24490712045162177</v>
      </c>
      <c r="I198" s="40">
        <v>-0.30789883171454768</v>
      </c>
      <c r="J198" s="40">
        <v>1.1917404809866028E-2</v>
      </c>
    </row>
    <row r="199" spans="1:10" ht="11.25" customHeight="1" x14ac:dyDescent="0.2">
      <c r="A199" s="49">
        <v>44470</v>
      </c>
      <c r="B199" s="39">
        <v>0</v>
      </c>
      <c r="C199" s="39">
        <v>0</v>
      </c>
      <c r="D199" s="39">
        <v>211405.50050000002</v>
      </c>
      <c r="E199" s="39">
        <v>263180.21287508891</v>
      </c>
      <c r="F199" s="39">
        <v>154011.27841999999</v>
      </c>
      <c r="G199" s="39">
        <v>106591.38572361809</v>
      </c>
      <c r="H199" s="40">
        <v>0.24490712045162177</v>
      </c>
      <c r="I199" s="40">
        <v>-0.30789883171454746</v>
      </c>
      <c r="J199" s="40">
        <v>1.1917404809866028E-2</v>
      </c>
    </row>
    <row r="200" spans="1:10" ht="11.25" customHeight="1" x14ac:dyDescent="0.2">
      <c r="A200" s="49">
        <v>44501</v>
      </c>
      <c r="B200" s="39">
        <v>0</v>
      </c>
      <c r="C200" s="39">
        <v>0</v>
      </c>
      <c r="D200" s="39">
        <v>208691.87325</v>
      </c>
      <c r="E200" s="39">
        <v>259801.99898931239</v>
      </c>
      <c r="F200" s="39">
        <v>152034.37053000001</v>
      </c>
      <c r="G200" s="39">
        <v>105223.16546335636</v>
      </c>
      <c r="H200" s="40">
        <v>0.244907120451622</v>
      </c>
      <c r="I200" s="40">
        <v>-0.30789883171454768</v>
      </c>
      <c r="J200" s="40">
        <v>1.191740480986625E-2</v>
      </c>
    </row>
    <row r="201" spans="1:10" ht="11.25" customHeight="1" x14ac:dyDescent="0.2">
      <c r="A201" s="49">
        <v>44531</v>
      </c>
      <c r="B201" s="39">
        <v>0</v>
      </c>
      <c r="C201" s="39">
        <v>0</v>
      </c>
      <c r="D201" s="39">
        <v>210068.36149999997</v>
      </c>
      <c r="E201" s="39">
        <v>261515.59901295535</v>
      </c>
      <c r="F201" s="39">
        <v>153037.15766</v>
      </c>
      <c r="G201" s="39">
        <v>105917.19560757097</v>
      </c>
      <c r="H201" s="40">
        <v>0.244907120451622</v>
      </c>
      <c r="I201" s="40">
        <v>-0.30789883171454757</v>
      </c>
      <c r="J201" s="40">
        <v>1.191740480986625E-2</v>
      </c>
    </row>
    <row r="202" spans="1:10" ht="11.25" customHeight="1" x14ac:dyDescent="0.2">
      <c r="A202" s="49">
        <v>44562</v>
      </c>
      <c r="B202" s="39">
        <v>0</v>
      </c>
      <c r="C202" s="39">
        <v>0</v>
      </c>
      <c r="D202" s="39">
        <v>217847.745</v>
      </c>
      <c r="E202" s="39">
        <v>271200.2089248292</v>
      </c>
      <c r="F202" s="39">
        <v>158704.52580000003</v>
      </c>
      <c r="G202" s="39">
        <v>109839.58771836873</v>
      </c>
      <c r="H202" s="40">
        <v>0.24490712045162177</v>
      </c>
      <c r="I202" s="40">
        <v>-0.30789883171454768</v>
      </c>
      <c r="J202" s="40">
        <v>1.1917404809866028E-2</v>
      </c>
    </row>
    <row r="203" spans="1:10" ht="11.25" customHeight="1" x14ac:dyDescent="0.2">
      <c r="A203" s="49">
        <v>44593</v>
      </c>
      <c r="B203" s="39">
        <v>0</v>
      </c>
      <c r="C203" s="39">
        <v>0</v>
      </c>
      <c r="D203" s="39">
        <v>216928.37</v>
      </c>
      <c r="E203" s="39">
        <v>270055.67244096403</v>
      </c>
      <c r="F203" s="39">
        <v>158034.75080000004</v>
      </c>
      <c r="G203" s="39">
        <v>109376.03565838034</v>
      </c>
      <c r="H203" s="40">
        <v>0.244907120451622</v>
      </c>
      <c r="I203" s="40">
        <v>-0.30789883171454779</v>
      </c>
      <c r="J203" s="40">
        <v>1.191740480986625E-2</v>
      </c>
    </row>
    <row r="204" spans="1:10" ht="11.25" customHeight="1" x14ac:dyDescent="0.2">
      <c r="A204" s="49">
        <v>44621</v>
      </c>
      <c r="B204" s="39">
        <v>0</v>
      </c>
      <c r="C204" s="39">
        <v>0</v>
      </c>
      <c r="D204" s="39">
        <v>217409.38699999999</v>
      </c>
      <c r="E204" s="39">
        <v>270654.49392932229</v>
      </c>
      <c r="F204" s="39">
        <v>158385.17707999999</v>
      </c>
      <c r="G204" s="39">
        <v>109618.56609616627</v>
      </c>
      <c r="H204" s="40">
        <v>0.244907120451622</v>
      </c>
      <c r="I204" s="40">
        <v>-0.30789883171454757</v>
      </c>
      <c r="J204" s="40">
        <v>1.191740480986625E-2</v>
      </c>
    </row>
    <row r="205" spans="1:10" ht="11.25" customHeight="1" x14ac:dyDescent="0.2">
      <c r="A205" s="49">
        <v>44652</v>
      </c>
      <c r="B205" s="39">
        <v>0</v>
      </c>
      <c r="C205" s="39">
        <v>0</v>
      </c>
      <c r="D205" s="39">
        <v>211282.30424999999</v>
      </c>
      <c r="E205" s="39">
        <v>263026.84498625097</v>
      </c>
      <c r="F205" s="39">
        <v>153921.52856999999</v>
      </c>
      <c r="G205" s="39">
        <v>106529.26974757966</v>
      </c>
      <c r="H205" s="40">
        <v>0.244907120451622</v>
      </c>
      <c r="I205" s="40">
        <v>-0.30789883171454746</v>
      </c>
      <c r="J205" s="40">
        <v>1.1917404809866028E-2</v>
      </c>
    </row>
    <row r="206" spans="1:10" ht="11.25" customHeight="1" x14ac:dyDescent="0.2">
      <c r="A206" s="49">
        <v>44682</v>
      </c>
      <c r="B206" s="39">
        <v>0</v>
      </c>
      <c r="C206" s="39">
        <v>0</v>
      </c>
      <c r="D206" s="39">
        <v>203276.75450000001</v>
      </c>
      <c r="E206" s="39">
        <v>253060.67909934631</v>
      </c>
      <c r="F206" s="39">
        <v>148089.39578000002</v>
      </c>
      <c r="G206" s="39">
        <v>102492.84383002477</v>
      </c>
      <c r="H206" s="40">
        <v>0.244907120451622</v>
      </c>
      <c r="I206" s="40">
        <v>-0.30789883171454757</v>
      </c>
      <c r="J206" s="40">
        <v>1.191740480986625E-2</v>
      </c>
    </row>
    <row r="207" spans="1:10" ht="11.25" customHeight="1" x14ac:dyDescent="0.2">
      <c r="A207" s="49">
        <v>44713</v>
      </c>
      <c r="B207" s="39">
        <v>0</v>
      </c>
      <c r="C207" s="39">
        <v>0</v>
      </c>
      <c r="D207" s="39">
        <v>193157.74550000002</v>
      </c>
      <c r="E207" s="39">
        <v>240463.45274333225</v>
      </c>
      <c r="F207" s="39">
        <v>140717.58422000002</v>
      </c>
      <c r="G207" s="39">
        <v>97390.804436968567</v>
      </c>
      <c r="H207" s="40">
        <v>0.244907120451622</v>
      </c>
      <c r="I207" s="40">
        <v>-0.30789883171454746</v>
      </c>
      <c r="J207" s="40">
        <v>1.191740480986625E-2</v>
      </c>
    </row>
    <row r="208" spans="1:10" ht="11.25" customHeight="1" x14ac:dyDescent="0.2">
      <c r="A208" s="49">
        <v>44743</v>
      </c>
      <c r="B208" s="39">
        <v>0</v>
      </c>
      <c r="C208" s="39">
        <v>0</v>
      </c>
      <c r="D208" s="39">
        <v>207913.34649999999</v>
      </c>
      <c r="E208" s="39">
        <v>258832.8054947753</v>
      </c>
      <c r="F208" s="39">
        <v>151467.20506000001</v>
      </c>
      <c r="G208" s="39">
        <v>104830.62957895818</v>
      </c>
      <c r="H208" s="40">
        <v>0.244907120451622</v>
      </c>
      <c r="I208" s="40">
        <v>-0.30789883171454768</v>
      </c>
      <c r="J208" s="40">
        <v>1.1917404809866028E-2</v>
      </c>
    </row>
    <row r="209" spans="1:10" ht="11.25" customHeight="1" x14ac:dyDescent="0.2">
      <c r="A209" s="49">
        <v>44774</v>
      </c>
      <c r="B209" s="39">
        <v>0</v>
      </c>
      <c r="C209" s="39">
        <v>0</v>
      </c>
      <c r="D209" s="39">
        <v>216448.08850000004</v>
      </c>
      <c r="E209" s="39">
        <v>269457.76658179285</v>
      </c>
      <c r="F209" s="39">
        <v>157684.86034000001</v>
      </c>
      <c r="G209" s="39">
        <v>109133.87606224242</v>
      </c>
      <c r="H209" s="40">
        <v>0.24490712045162177</v>
      </c>
      <c r="I209" s="40">
        <v>-0.30789883171454757</v>
      </c>
      <c r="J209" s="40">
        <v>1.1917404809866028E-2</v>
      </c>
    </row>
    <row r="210" spans="1:10" ht="11.25" customHeight="1" x14ac:dyDescent="0.2">
      <c r="A210" s="45" t="s">
        <v>29</v>
      </c>
      <c r="B210" s="39">
        <v>0</v>
      </c>
      <c r="C210" s="39">
        <v>0</v>
      </c>
      <c r="D210" s="39">
        <v>7595.6525999999994</v>
      </c>
      <c r="E210" s="39">
        <v>8456.3589685285206</v>
      </c>
      <c r="F210" s="39">
        <v>6523.5789000000004</v>
      </c>
      <c r="G210" s="39">
        <v>4514.9043538749092</v>
      </c>
      <c r="H210" s="40">
        <v>0.1133156575023615</v>
      </c>
      <c r="I210" s="40">
        <v>-0.30790990297137211</v>
      </c>
      <c r="J210" s="40">
        <v>-8.1305287585699659E-2</v>
      </c>
    </row>
    <row r="211" spans="1:10" ht="11.25" customHeight="1" x14ac:dyDescent="0.2">
      <c r="A211" s="46" t="s">
        <v>25</v>
      </c>
      <c r="B211" s="39">
        <v>0</v>
      </c>
      <c r="C211" s="39">
        <v>0</v>
      </c>
      <c r="D211" s="39">
        <v>7595.6525999999994</v>
      </c>
      <c r="E211" s="39">
        <v>8456.3589685285206</v>
      </c>
      <c r="F211" s="39">
        <v>6523.5789000000004</v>
      </c>
      <c r="G211" s="39">
        <v>4514.9043538749092</v>
      </c>
      <c r="H211" s="40">
        <v>0.1133156575023615</v>
      </c>
      <c r="I211" s="40">
        <v>-0.30790990297137211</v>
      </c>
      <c r="J211" s="40">
        <v>-8.1305287585699659E-2</v>
      </c>
    </row>
    <row r="212" spans="1:10" ht="11.25" customHeight="1" x14ac:dyDescent="0.2">
      <c r="A212" s="47" t="s">
        <v>25</v>
      </c>
      <c r="B212" s="39">
        <v>0</v>
      </c>
      <c r="C212" s="39">
        <v>0</v>
      </c>
      <c r="D212" s="39">
        <v>7595.6525999999994</v>
      </c>
      <c r="E212" s="39">
        <v>8456.3589685285206</v>
      </c>
      <c r="F212" s="39">
        <v>6523.5789000000004</v>
      </c>
      <c r="G212" s="39">
        <v>4514.9043538749092</v>
      </c>
      <c r="H212" s="40">
        <v>0.1133156575023615</v>
      </c>
      <c r="I212" s="40">
        <v>-0.30790990297137211</v>
      </c>
      <c r="J212" s="40">
        <v>-8.1305287585699659E-2</v>
      </c>
    </row>
    <row r="213" spans="1:10" ht="11.25" customHeight="1" x14ac:dyDescent="0.2">
      <c r="A213" s="48" t="s">
        <v>25</v>
      </c>
      <c r="B213" s="39">
        <v>0</v>
      </c>
      <c r="C213" s="39">
        <v>0</v>
      </c>
      <c r="D213" s="39">
        <v>7595.6525999999994</v>
      </c>
      <c r="E213" s="39">
        <v>8456.3589685285206</v>
      </c>
      <c r="F213" s="39">
        <v>6523.5789000000004</v>
      </c>
      <c r="G213" s="39">
        <v>4514.9043538749092</v>
      </c>
      <c r="H213" s="40">
        <v>0.1133156575023615</v>
      </c>
      <c r="I213" s="40">
        <v>-0.30790990297137211</v>
      </c>
      <c r="J213" s="40">
        <v>-8.1305287585699659E-2</v>
      </c>
    </row>
    <row r="214" spans="1:10" ht="11.25" customHeight="1" x14ac:dyDescent="0.2">
      <c r="A214" s="49">
        <v>44440</v>
      </c>
      <c r="B214" s="39">
        <v>0</v>
      </c>
      <c r="C214" s="39">
        <v>0</v>
      </c>
      <c r="D214" s="39">
        <v>478.20840000000004</v>
      </c>
      <c r="E214" s="39">
        <v>532.39689926915219</v>
      </c>
      <c r="F214" s="39">
        <v>410.71259999999995</v>
      </c>
      <c r="G214" s="39">
        <v>284.25012318488007</v>
      </c>
      <c r="H214" s="40">
        <v>0.11331565750236128</v>
      </c>
      <c r="I214" s="40">
        <v>-0.307909902971372</v>
      </c>
      <c r="J214" s="40">
        <v>-8.130528758569977E-2</v>
      </c>
    </row>
    <row r="215" spans="1:10" ht="11.25" customHeight="1" x14ac:dyDescent="0.2">
      <c r="A215" s="49">
        <v>44470</v>
      </c>
      <c r="B215" s="39">
        <v>0</v>
      </c>
      <c r="C215" s="39">
        <v>0</v>
      </c>
      <c r="D215" s="39">
        <v>488.03460000000001</v>
      </c>
      <c r="E215" s="39">
        <v>543.33656158290182</v>
      </c>
      <c r="F215" s="39">
        <v>419.15189999999996</v>
      </c>
      <c r="G215" s="39">
        <v>290.09087914073376</v>
      </c>
      <c r="H215" s="40">
        <v>0.11331565750236106</v>
      </c>
      <c r="I215" s="40">
        <v>-0.307909902971372</v>
      </c>
      <c r="J215" s="40">
        <v>-8.1305287585699881E-2</v>
      </c>
    </row>
    <row r="216" spans="1:10" ht="11.25" customHeight="1" x14ac:dyDescent="0.2">
      <c r="A216" s="49">
        <v>44501</v>
      </c>
      <c r="B216" s="39">
        <v>0</v>
      </c>
      <c r="C216" s="39">
        <v>0</v>
      </c>
      <c r="D216" s="39">
        <v>497.86079999999998</v>
      </c>
      <c r="E216" s="39">
        <v>554.27622389665157</v>
      </c>
      <c r="F216" s="39">
        <v>427.59119999999996</v>
      </c>
      <c r="G216" s="39">
        <v>295.93163509658746</v>
      </c>
      <c r="H216" s="40">
        <v>0.11331565750236128</v>
      </c>
      <c r="I216" s="40">
        <v>-0.307909902971372</v>
      </c>
      <c r="J216" s="40">
        <v>-8.1305287585699659E-2</v>
      </c>
    </row>
    <row r="217" spans="1:10" ht="11.25" customHeight="1" x14ac:dyDescent="0.2">
      <c r="A217" s="49">
        <v>44531</v>
      </c>
      <c r="B217" s="39">
        <v>0</v>
      </c>
      <c r="C217" s="39">
        <v>0</v>
      </c>
      <c r="D217" s="39">
        <v>546.99180000000001</v>
      </c>
      <c r="E217" s="39">
        <v>608.97453546540009</v>
      </c>
      <c r="F217" s="39">
        <v>469.78769999999997</v>
      </c>
      <c r="G217" s="39">
        <v>325.13541487585593</v>
      </c>
      <c r="H217" s="40">
        <v>0.11331565750236128</v>
      </c>
      <c r="I217" s="40">
        <v>-0.30790990297137211</v>
      </c>
      <c r="J217" s="40">
        <v>-8.1305287585699659E-2</v>
      </c>
    </row>
    <row r="218" spans="1:10" ht="11.25" customHeight="1" x14ac:dyDescent="0.2">
      <c r="A218" s="49">
        <v>44562</v>
      </c>
      <c r="B218" s="39">
        <v>0</v>
      </c>
      <c r="C218" s="39">
        <v>0</v>
      </c>
      <c r="D218" s="39">
        <v>533.89020000000005</v>
      </c>
      <c r="E218" s="39">
        <v>594.38831904706706</v>
      </c>
      <c r="F218" s="39">
        <v>458.53529999999995</v>
      </c>
      <c r="G218" s="39">
        <v>317.34774026805098</v>
      </c>
      <c r="H218" s="40">
        <v>0.11331565750236106</v>
      </c>
      <c r="I218" s="40">
        <v>-0.30790990297137211</v>
      </c>
      <c r="J218" s="40">
        <v>-8.1305287585699881E-2</v>
      </c>
    </row>
    <row r="219" spans="1:10" ht="11.25" customHeight="1" x14ac:dyDescent="0.2">
      <c r="A219" s="49">
        <v>44593</v>
      </c>
      <c r="B219" s="39">
        <v>0</v>
      </c>
      <c r="C219" s="39">
        <v>0</v>
      </c>
      <c r="D219" s="39">
        <v>609.22440000000006</v>
      </c>
      <c r="E219" s="39">
        <v>678.25906345248154</v>
      </c>
      <c r="F219" s="39">
        <v>523.23659999999995</v>
      </c>
      <c r="G219" s="39">
        <v>362.1268692629294</v>
      </c>
      <c r="H219" s="40">
        <v>0.11331565750236106</v>
      </c>
      <c r="I219" s="40">
        <v>-0.307909902971372</v>
      </c>
      <c r="J219" s="40">
        <v>-8.1305287585699659E-2</v>
      </c>
    </row>
    <row r="220" spans="1:10" ht="11.25" customHeight="1" x14ac:dyDescent="0.2">
      <c r="A220" s="49">
        <v>44621</v>
      </c>
      <c r="B220" s="39">
        <v>0</v>
      </c>
      <c r="C220" s="39">
        <v>0</v>
      </c>
      <c r="D220" s="39">
        <v>740.24040000000002</v>
      </c>
      <c r="E220" s="39">
        <v>824.1212276358109</v>
      </c>
      <c r="F220" s="39">
        <v>635.76059999999995</v>
      </c>
      <c r="G220" s="39">
        <v>440.00361534097874</v>
      </c>
      <c r="H220" s="40">
        <v>0.11331565750236128</v>
      </c>
      <c r="I220" s="40">
        <v>-0.307909902971372</v>
      </c>
      <c r="J220" s="40">
        <v>-8.1305287585699548E-2</v>
      </c>
    </row>
    <row r="221" spans="1:10" ht="11.25" customHeight="1" x14ac:dyDescent="0.2">
      <c r="A221" s="49">
        <v>44652</v>
      </c>
      <c r="B221" s="39">
        <v>0</v>
      </c>
      <c r="C221" s="39">
        <v>0</v>
      </c>
      <c r="D221" s="39">
        <v>763.16820000000007</v>
      </c>
      <c r="E221" s="39">
        <v>849.64710636789357</v>
      </c>
      <c r="F221" s="39">
        <v>655.45230000000004</v>
      </c>
      <c r="G221" s="39">
        <v>453.63204590463738</v>
      </c>
      <c r="H221" s="40">
        <v>0.11331565750236128</v>
      </c>
      <c r="I221" s="40">
        <v>-0.30790990297137211</v>
      </c>
      <c r="J221" s="40">
        <v>-8.1305287585699548E-2</v>
      </c>
    </row>
    <row r="222" spans="1:10" ht="11.25" customHeight="1" x14ac:dyDescent="0.2">
      <c r="A222" s="49">
        <v>44682</v>
      </c>
      <c r="B222" s="39">
        <v>0</v>
      </c>
      <c r="C222" s="39">
        <v>0</v>
      </c>
      <c r="D222" s="39">
        <v>782.82060000000001</v>
      </c>
      <c r="E222" s="39">
        <v>871.52643099539296</v>
      </c>
      <c r="F222" s="39">
        <v>672.33089999999993</v>
      </c>
      <c r="G222" s="39">
        <v>465.31355781634477</v>
      </c>
      <c r="H222" s="40">
        <v>0.11331565750236128</v>
      </c>
      <c r="I222" s="40">
        <v>-0.307909902971372</v>
      </c>
      <c r="J222" s="40">
        <v>-8.1305287585699548E-2</v>
      </c>
    </row>
    <row r="223" spans="1:10" ht="11.25" customHeight="1" x14ac:dyDescent="0.2">
      <c r="A223" s="49">
        <v>44713</v>
      </c>
      <c r="B223" s="39">
        <v>0</v>
      </c>
      <c r="C223" s="39">
        <v>0</v>
      </c>
      <c r="D223" s="39">
        <v>720.58799999999997</v>
      </c>
      <c r="E223" s="39">
        <v>802.2419030083114</v>
      </c>
      <c r="F223" s="39">
        <v>618.88199999999995</v>
      </c>
      <c r="G223" s="39">
        <v>428.32210342927129</v>
      </c>
      <c r="H223" s="40">
        <v>0.11331565750236128</v>
      </c>
      <c r="I223" s="40">
        <v>-0.307909902971372</v>
      </c>
      <c r="J223" s="40">
        <v>-8.1305287585699659E-2</v>
      </c>
    </row>
    <row r="224" spans="1:10" ht="11.25" customHeight="1" x14ac:dyDescent="0.2">
      <c r="A224" s="49">
        <v>44743</v>
      </c>
      <c r="B224" s="39">
        <v>0</v>
      </c>
      <c r="C224" s="39">
        <v>0</v>
      </c>
      <c r="D224" s="39">
        <v>727.13880000000006</v>
      </c>
      <c r="E224" s="39">
        <v>809.53501121747797</v>
      </c>
      <c r="F224" s="39">
        <v>624.50819999999999</v>
      </c>
      <c r="G224" s="39">
        <v>432.2159407331738</v>
      </c>
      <c r="H224" s="40">
        <v>0.11331565750236128</v>
      </c>
      <c r="I224" s="40">
        <v>-0.307909902971372</v>
      </c>
      <c r="J224" s="40">
        <v>-8.1305287585699659E-2</v>
      </c>
    </row>
    <row r="225" spans="1:10" ht="11.25" customHeight="1" x14ac:dyDescent="0.2">
      <c r="A225" s="49">
        <v>44774</v>
      </c>
      <c r="B225" s="39">
        <v>0</v>
      </c>
      <c r="C225" s="39">
        <v>0</v>
      </c>
      <c r="D225" s="39">
        <v>707.48640000000012</v>
      </c>
      <c r="E225" s="39">
        <v>787.65568658997859</v>
      </c>
      <c r="F225" s="39">
        <v>607.62959999999998</v>
      </c>
      <c r="G225" s="39">
        <v>420.53442882146641</v>
      </c>
      <c r="H225" s="40">
        <v>0.11331565750236106</v>
      </c>
      <c r="I225" s="40">
        <v>-0.307909902971372</v>
      </c>
      <c r="J225" s="40">
        <v>-8.1305287585699659E-2</v>
      </c>
    </row>
    <row r="226" spans="1:10" ht="11.25" customHeight="1" x14ac:dyDescent="0.2">
      <c r="A226" s="45" t="s">
        <v>30</v>
      </c>
      <c r="B226" s="39">
        <v>0</v>
      </c>
      <c r="C226" s="39">
        <v>0</v>
      </c>
      <c r="D226" s="39">
        <v>27984.163200000003</v>
      </c>
      <c r="E226" s="39">
        <v>31156.15826955915</v>
      </c>
      <c r="F226" s="39">
        <v>24035.340000000004</v>
      </c>
      <c r="G226" s="39">
        <v>16634.472962271335</v>
      </c>
      <c r="H226" s="40">
        <v>0.11334964875987952</v>
      </c>
      <c r="I226" s="40">
        <v>-0.30791605351655804</v>
      </c>
      <c r="J226" s="40">
        <v>-8.1293970684624295E-2</v>
      </c>
    </row>
    <row r="227" spans="1:10" ht="11.25" customHeight="1" x14ac:dyDescent="0.2">
      <c r="A227" s="46" t="s">
        <v>25</v>
      </c>
      <c r="B227" s="39">
        <v>0</v>
      </c>
      <c r="C227" s="39">
        <v>0</v>
      </c>
      <c r="D227" s="39">
        <v>27984.163200000003</v>
      </c>
      <c r="E227" s="39">
        <v>31156.15826955915</v>
      </c>
      <c r="F227" s="39">
        <v>24035.340000000004</v>
      </c>
      <c r="G227" s="39">
        <v>16634.472962271335</v>
      </c>
      <c r="H227" s="40">
        <v>0.11334964875987952</v>
      </c>
      <c r="I227" s="40">
        <v>-0.30791605351655804</v>
      </c>
      <c r="J227" s="40">
        <v>-8.1293970684624295E-2</v>
      </c>
    </row>
    <row r="228" spans="1:10" ht="11.25" customHeight="1" x14ac:dyDescent="0.2">
      <c r="A228" s="47" t="s">
        <v>25</v>
      </c>
      <c r="B228" s="39">
        <v>0</v>
      </c>
      <c r="C228" s="39">
        <v>0</v>
      </c>
      <c r="D228" s="39">
        <v>27984.163200000003</v>
      </c>
      <c r="E228" s="39">
        <v>31156.15826955915</v>
      </c>
      <c r="F228" s="39">
        <v>24035.340000000004</v>
      </c>
      <c r="G228" s="39">
        <v>16634.472962271335</v>
      </c>
      <c r="H228" s="40">
        <v>0.11334964875987952</v>
      </c>
      <c r="I228" s="40">
        <v>-0.30791605351655804</v>
      </c>
      <c r="J228" s="40">
        <v>-8.1293970684624295E-2</v>
      </c>
    </row>
    <row r="229" spans="1:10" ht="11.25" customHeight="1" x14ac:dyDescent="0.2">
      <c r="A229" s="48" t="s">
        <v>25</v>
      </c>
      <c r="B229" s="39">
        <v>0</v>
      </c>
      <c r="C229" s="39">
        <v>0</v>
      </c>
      <c r="D229" s="39">
        <v>27984.163200000003</v>
      </c>
      <c r="E229" s="39">
        <v>31156.15826955915</v>
      </c>
      <c r="F229" s="39">
        <v>24035.340000000004</v>
      </c>
      <c r="G229" s="39">
        <v>16634.472962271335</v>
      </c>
      <c r="H229" s="40">
        <v>0.11334964875987952</v>
      </c>
      <c r="I229" s="40">
        <v>-0.30791605351655804</v>
      </c>
      <c r="J229" s="40">
        <v>-8.1293970684624295E-2</v>
      </c>
    </row>
    <row r="230" spans="1:10" ht="11.25" customHeight="1" x14ac:dyDescent="0.2">
      <c r="A230" s="49">
        <v>44440</v>
      </c>
      <c r="B230" s="39">
        <v>0</v>
      </c>
      <c r="C230" s="39">
        <v>0</v>
      </c>
      <c r="D230" s="39">
        <v>1755.7479599999999</v>
      </c>
      <c r="E230" s="39">
        <v>1954.7613745768756</v>
      </c>
      <c r="F230" s="39">
        <v>1507.99575</v>
      </c>
      <c r="G230" s="39">
        <v>1043.6596499402583</v>
      </c>
      <c r="H230" s="40">
        <v>0.11334964875987996</v>
      </c>
      <c r="I230" s="40">
        <v>-0.30791605351655782</v>
      </c>
      <c r="J230" s="40">
        <v>-8.1293970684623962E-2</v>
      </c>
    </row>
    <row r="231" spans="1:10" ht="11.25" customHeight="1" x14ac:dyDescent="0.2">
      <c r="A231" s="49">
        <v>44470</v>
      </c>
      <c r="B231" s="39">
        <v>0</v>
      </c>
      <c r="C231" s="39">
        <v>0</v>
      </c>
      <c r="D231" s="39">
        <v>1792.4313199999999</v>
      </c>
      <c r="E231" s="39">
        <v>1995.6027805482076</v>
      </c>
      <c r="F231" s="39">
        <v>1539.5027500000001</v>
      </c>
      <c r="G231" s="39">
        <v>1065.4651388421121</v>
      </c>
      <c r="H231" s="40">
        <v>0.11334964875987974</v>
      </c>
      <c r="I231" s="40">
        <v>-0.30791605351655782</v>
      </c>
      <c r="J231" s="40">
        <v>-8.1293970684624184E-2</v>
      </c>
    </row>
    <row r="232" spans="1:10" ht="11.25" customHeight="1" x14ac:dyDescent="0.2">
      <c r="A232" s="49">
        <v>44501</v>
      </c>
      <c r="B232" s="39">
        <v>0</v>
      </c>
      <c r="C232" s="39">
        <v>0</v>
      </c>
      <c r="D232" s="39">
        <v>1845.0232800000001</v>
      </c>
      <c r="E232" s="39">
        <v>2054.1560207418015</v>
      </c>
      <c r="F232" s="39">
        <v>1584.6735000000001</v>
      </c>
      <c r="G232" s="39">
        <v>1096.7270897677292</v>
      </c>
      <c r="H232" s="40">
        <v>0.11334964875987974</v>
      </c>
      <c r="I232" s="40">
        <v>-0.30791605351655771</v>
      </c>
      <c r="J232" s="40">
        <v>-8.1293970684624073E-2</v>
      </c>
    </row>
    <row r="233" spans="1:10" ht="11.25" customHeight="1" x14ac:dyDescent="0.2">
      <c r="A233" s="49">
        <v>44531</v>
      </c>
      <c r="B233" s="39">
        <v>0</v>
      </c>
      <c r="C233" s="39">
        <v>0</v>
      </c>
      <c r="D233" s="39">
        <v>2060.4444400000002</v>
      </c>
      <c r="E233" s="39">
        <v>2293.9950935632473</v>
      </c>
      <c r="F233" s="39">
        <v>1769.6967500000001</v>
      </c>
      <c r="G233" s="39">
        <v>1224.7787108189218</v>
      </c>
      <c r="H233" s="40">
        <v>0.11334964875987974</v>
      </c>
      <c r="I233" s="40">
        <v>-0.30791605351655771</v>
      </c>
      <c r="J233" s="40">
        <v>-8.1293970684624073E-2</v>
      </c>
    </row>
    <row r="234" spans="1:10" ht="11.25" customHeight="1" x14ac:dyDescent="0.2">
      <c r="A234" s="49">
        <v>44562</v>
      </c>
      <c r="B234" s="39">
        <v>0</v>
      </c>
      <c r="C234" s="39">
        <v>0</v>
      </c>
      <c r="D234" s="39">
        <v>2012.1571599999997</v>
      </c>
      <c r="E234" s="39">
        <v>2240.234467335677</v>
      </c>
      <c r="F234" s="39">
        <v>1728.22325</v>
      </c>
      <c r="G234" s="39">
        <v>1196.0755672644405</v>
      </c>
      <c r="H234" s="40">
        <v>0.11334964875987974</v>
      </c>
      <c r="I234" s="40">
        <v>-0.30791605351655782</v>
      </c>
      <c r="J234" s="40">
        <v>-8.1293970684624073E-2</v>
      </c>
    </row>
    <row r="235" spans="1:10" ht="11.25" customHeight="1" x14ac:dyDescent="0.2">
      <c r="A235" s="49">
        <v>44593</v>
      </c>
      <c r="B235" s="39">
        <v>0</v>
      </c>
      <c r="C235" s="39">
        <v>0</v>
      </c>
      <c r="D235" s="39">
        <v>2307.4956400000001</v>
      </c>
      <c r="E235" s="39">
        <v>2569.0494603089542</v>
      </c>
      <c r="F235" s="39">
        <v>1981.8867500000001</v>
      </c>
      <c r="G235" s="39">
        <v>1371.6320034232433</v>
      </c>
      <c r="H235" s="40">
        <v>0.11334964875987974</v>
      </c>
      <c r="I235" s="40">
        <v>-0.30791605351655782</v>
      </c>
      <c r="J235" s="40">
        <v>-8.1293970684624073E-2</v>
      </c>
    </row>
    <row r="236" spans="1:10" ht="11.25" customHeight="1" x14ac:dyDescent="0.2">
      <c r="A236" s="49">
        <v>44621</v>
      </c>
      <c r="B236" s="39">
        <v>0</v>
      </c>
      <c r="C236" s="39">
        <v>0</v>
      </c>
      <c r="D236" s="39">
        <v>2766.03764</v>
      </c>
      <c r="E236" s="39">
        <v>3079.5670349506067</v>
      </c>
      <c r="F236" s="39">
        <v>2375.7242500000002</v>
      </c>
      <c r="G236" s="39">
        <v>1644.2006146964159</v>
      </c>
      <c r="H236" s="40">
        <v>0.11334964875987974</v>
      </c>
      <c r="I236" s="40">
        <v>-0.30791605351655782</v>
      </c>
      <c r="J236" s="40">
        <v>-8.1293970684623962E-2</v>
      </c>
    </row>
    <row r="237" spans="1:10" ht="11.25" customHeight="1" x14ac:dyDescent="0.2">
      <c r="A237" s="49">
        <v>44652</v>
      </c>
      <c r="B237" s="39">
        <v>0</v>
      </c>
      <c r="C237" s="39">
        <v>0</v>
      </c>
      <c r="D237" s="39">
        <v>2828.5490799999998</v>
      </c>
      <c r="E237" s="39">
        <v>3149.164124718081</v>
      </c>
      <c r="F237" s="39">
        <v>2429.4147499999999</v>
      </c>
      <c r="G237" s="39">
        <v>1681.3589478250851</v>
      </c>
      <c r="H237" s="40">
        <v>0.11334964875987974</v>
      </c>
      <c r="I237" s="40">
        <v>-0.30791605351655782</v>
      </c>
      <c r="J237" s="40">
        <v>-8.1293970684623962E-2</v>
      </c>
    </row>
    <row r="238" spans="1:10" ht="11.25" customHeight="1" x14ac:dyDescent="0.2">
      <c r="A238" s="49">
        <v>44682</v>
      </c>
      <c r="B238" s="39">
        <v>0</v>
      </c>
      <c r="C238" s="39">
        <v>0</v>
      </c>
      <c r="D238" s="39">
        <v>2847.2650799999997</v>
      </c>
      <c r="E238" s="39">
        <v>3170.001576744271</v>
      </c>
      <c r="F238" s="39">
        <v>2445.4897499999997</v>
      </c>
      <c r="G238" s="39">
        <v>1692.4841972648064</v>
      </c>
      <c r="H238" s="40">
        <v>0.11334964875987996</v>
      </c>
      <c r="I238" s="40">
        <v>-0.30791605351655771</v>
      </c>
      <c r="J238" s="40">
        <v>-8.1293970684624073E-2</v>
      </c>
    </row>
    <row r="239" spans="1:10" ht="11.25" customHeight="1" x14ac:dyDescent="0.2">
      <c r="A239" s="49">
        <v>44713</v>
      </c>
      <c r="B239" s="39">
        <v>0</v>
      </c>
      <c r="C239" s="39">
        <v>0</v>
      </c>
      <c r="D239" s="39">
        <v>2595.1605599999998</v>
      </c>
      <c r="E239" s="39">
        <v>2889.3210979514929</v>
      </c>
      <c r="F239" s="39">
        <v>2228.9594999999999</v>
      </c>
      <c r="G239" s="39">
        <v>1542.6270873117601</v>
      </c>
      <c r="H239" s="40">
        <v>0.11334964875987996</v>
      </c>
      <c r="I239" s="40">
        <v>-0.30791605351655782</v>
      </c>
      <c r="J239" s="40">
        <v>-8.1293970684624073E-2</v>
      </c>
    </row>
    <row r="240" spans="1:10" ht="11.25" customHeight="1" x14ac:dyDescent="0.2">
      <c r="A240" s="49">
        <v>44743</v>
      </c>
      <c r="B240" s="39">
        <v>0</v>
      </c>
      <c r="C240" s="39">
        <v>0</v>
      </c>
      <c r="D240" s="39">
        <v>2601.3368399999999</v>
      </c>
      <c r="E240" s="39">
        <v>2896.1974571201354</v>
      </c>
      <c r="F240" s="39">
        <v>2234.2642499999997</v>
      </c>
      <c r="G240" s="39">
        <v>1546.2984196268681</v>
      </c>
      <c r="H240" s="40">
        <v>0.11334964875987974</v>
      </c>
      <c r="I240" s="40">
        <v>-0.30791605351655771</v>
      </c>
      <c r="J240" s="40">
        <v>-8.1293970684624184E-2</v>
      </c>
    </row>
    <row r="241" spans="1:10" ht="11.25" customHeight="1" x14ac:dyDescent="0.2">
      <c r="A241" s="49">
        <v>44774</v>
      </c>
      <c r="B241" s="39">
        <v>0</v>
      </c>
      <c r="C241" s="39">
        <v>0</v>
      </c>
      <c r="D241" s="39">
        <v>2572.5141999999996</v>
      </c>
      <c r="E241" s="39">
        <v>2864.1077809998033</v>
      </c>
      <c r="F241" s="39">
        <v>2209.50875</v>
      </c>
      <c r="G241" s="39">
        <v>1529.1655354896973</v>
      </c>
      <c r="H241" s="40">
        <v>0.11334964875987996</v>
      </c>
      <c r="I241" s="40">
        <v>-0.30791605351655782</v>
      </c>
      <c r="J241" s="40">
        <v>-8.1293970684623962E-2</v>
      </c>
    </row>
    <row r="242" spans="1:10" ht="11.25" customHeight="1" x14ac:dyDescent="0.2">
      <c r="A242" s="45" t="s">
        <v>31</v>
      </c>
      <c r="B242" s="39">
        <v>0</v>
      </c>
      <c r="C242" s="39">
        <v>0</v>
      </c>
      <c r="D242" s="39">
        <v>37637.969580000004</v>
      </c>
      <c r="E242" s="39">
        <v>41904.220211928041</v>
      </c>
      <c r="F242" s="39">
        <v>32326.23504</v>
      </c>
      <c r="G242" s="39">
        <v>22372.932249526802</v>
      </c>
      <c r="H242" s="40">
        <v>0.11334964875987974</v>
      </c>
      <c r="I242" s="40">
        <v>-0.30790170207440271</v>
      </c>
      <c r="J242" s="40">
        <v>-8.1285168457692403E-2</v>
      </c>
    </row>
    <row r="243" spans="1:10" ht="11.25" customHeight="1" x14ac:dyDescent="0.2">
      <c r="A243" s="46" t="s">
        <v>25</v>
      </c>
      <c r="B243" s="39">
        <v>0</v>
      </c>
      <c r="C243" s="39">
        <v>0</v>
      </c>
      <c r="D243" s="39">
        <v>37637.969580000004</v>
      </c>
      <c r="E243" s="39">
        <v>41904.220211928041</v>
      </c>
      <c r="F243" s="39">
        <v>32326.23504</v>
      </c>
      <c r="G243" s="39">
        <v>22372.932249526802</v>
      </c>
      <c r="H243" s="40">
        <v>0.11334964875987974</v>
      </c>
      <c r="I243" s="40">
        <v>-0.30790170207440271</v>
      </c>
      <c r="J243" s="40">
        <v>-8.1285168457692403E-2</v>
      </c>
    </row>
    <row r="244" spans="1:10" ht="11.25" customHeight="1" x14ac:dyDescent="0.2">
      <c r="A244" s="47" t="s">
        <v>25</v>
      </c>
      <c r="B244" s="39">
        <v>0</v>
      </c>
      <c r="C244" s="39">
        <v>0</v>
      </c>
      <c r="D244" s="39">
        <v>37637.969580000004</v>
      </c>
      <c r="E244" s="39">
        <v>41904.220211928041</v>
      </c>
      <c r="F244" s="39">
        <v>32326.23504</v>
      </c>
      <c r="G244" s="39">
        <v>22372.932249526802</v>
      </c>
      <c r="H244" s="40">
        <v>0.11334964875987974</v>
      </c>
      <c r="I244" s="40">
        <v>-0.30790170207440271</v>
      </c>
      <c r="J244" s="40">
        <v>-8.1285168457692403E-2</v>
      </c>
    </row>
    <row r="245" spans="1:10" ht="11.25" customHeight="1" x14ac:dyDescent="0.2">
      <c r="A245" s="48" t="s">
        <v>25</v>
      </c>
      <c r="B245" s="39">
        <v>0</v>
      </c>
      <c r="C245" s="39">
        <v>0</v>
      </c>
      <c r="D245" s="39">
        <v>37637.969580000004</v>
      </c>
      <c r="E245" s="39">
        <v>41904.220211928041</v>
      </c>
      <c r="F245" s="39">
        <v>32326.23504</v>
      </c>
      <c r="G245" s="39">
        <v>22372.932249526802</v>
      </c>
      <c r="H245" s="40">
        <v>0.11334964875987974</v>
      </c>
      <c r="I245" s="40">
        <v>-0.30790170207440271</v>
      </c>
      <c r="J245" s="40">
        <v>-8.1285168457692403E-2</v>
      </c>
    </row>
    <row r="246" spans="1:10" ht="11.25" customHeight="1" x14ac:dyDescent="0.2">
      <c r="A246" s="49">
        <v>44440</v>
      </c>
      <c r="B246" s="39">
        <v>0</v>
      </c>
      <c r="C246" s="39">
        <v>0</v>
      </c>
      <c r="D246" s="39">
        <v>2422.5054599999999</v>
      </c>
      <c r="E246" s="39">
        <v>2697.095603009891</v>
      </c>
      <c r="F246" s="39">
        <v>2080.6244799999999</v>
      </c>
      <c r="G246" s="39">
        <v>1439.9966612303308</v>
      </c>
      <c r="H246" s="40">
        <v>0.11334964875987974</v>
      </c>
      <c r="I246" s="40">
        <v>-0.30790170207440271</v>
      </c>
      <c r="J246" s="40">
        <v>-8.1285168457692292E-2</v>
      </c>
    </row>
    <row r="247" spans="1:10" ht="11.25" customHeight="1" x14ac:dyDescent="0.2">
      <c r="A247" s="49">
        <v>44470</v>
      </c>
      <c r="B247" s="39">
        <v>0</v>
      </c>
      <c r="C247" s="39">
        <v>0</v>
      </c>
      <c r="D247" s="39">
        <v>2595.4413</v>
      </c>
      <c r="E247" s="39">
        <v>2889.6336597318859</v>
      </c>
      <c r="F247" s="39">
        <v>2229.1543999999999</v>
      </c>
      <c r="G247" s="39">
        <v>1542.7939660533557</v>
      </c>
      <c r="H247" s="40">
        <v>0.11334964875987996</v>
      </c>
      <c r="I247" s="40">
        <v>-0.30790170207440282</v>
      </c>
      <c r="J247" s="40">
        <v>-8.1285168457692403E-2</v>
      </c>
    </row>
    <row r="248" spans="1:10" ht="11.25" customHeight="1" x14ac:dyDescent="0.2">
      <c r="A248" s="49">
        <v>44501</v>
      </c>
      <c r="B248" s="39">
        <v>0</v>
      </c>
      <c r="C248" s="39">
        <v>0</v>
      </c>
      <c r="D248" s="39">
        <v>2462.65128</v>
      </c>
      <c r="E248" s="39">
        <v>2741.7919376060686</v>
      </c>
      <c r="F248" s="39">
        <v>2115.10464</v>
      </c>
      <c r="G248" s="39">
        <v>1463.8603212785331</v>
      </c>
      <c r="H248" s="40">
        <v>0.11334964875987996</v>
      </c>
      <c r="I248" s="40">
        <v>-0.30790170207440282</v>
      </c>
      <c r="J248" s="40">
        <v>-8.1285168457692181E-2</v>
      </c>
    </row>
    <row r="249" spans="1:10" ht="11.25" customHeight="1" x14ac:dyDescent="0.2">
      <c r="A249" s="49">
        <v>44531</v>
      </c>
      <c r="B249" s="39">
        <v>0</v>
      </c>
      <c r="C249" s="39">
        <v>0</v>
      </c>
      <c r="D249" s="39">
        <v>3156.0790800000004</v>
      </c>
      <c r="E249" s="39">
        <v>3513.8195351764052</v>
      </c>
      <c r="F249" s="39">
        <v>2710.6710400000002</v>
      </c>
      <c r="G249" s="39">
        <v>1876.0508130202086</v>
      </c>
      <c r="H249" s="40">
        <v>0.11334964875987996</v>
      </c>
      <c r="I249" s="40">
        <v>-0.30790170207440282</v>
      </c>
      <c r="J249" s="40">
        <v>-8.1285168457692292E-2</v>
      </c>
    </row>
    <row r="250" spans="1:10" ht="11.25" customHeight="1" x14ac:dyDescent="0.2">
      <c r="A250" s="49">
        <v>44562</v>
      </c>
      <c r="B250" s="39">
        <v>0</v>
      </c>
      <c r="C250" s="39">
        <v>0</v>
      </c>
      <c r="D250" s="39">
        <v>2941.03224</v>
      </c>
      <c r="E250" s="39">
        <v>3274.3972113954828</v>
      </c>
      <c r="F250" s="39">
        <v>2525.9731200000001</v>
      </c>
      <c r="G250" s="39">
        <v>1748.2216969578105</v>
      </c>
      <c r="H250" s="40">
        <v>0.11334964875987996</v>
      </c>
      <c r="I250" s="40">
        <v>-0.30790170207440271</v>
      </c>
      <c r="J250" s="40">
        <v>-8.1285168457692292E-2</v>
      </c>
    </row>
    <row r="251" spans="1:10" ht="11.25" customHeight="1" x14ac:dyDescent="0.2">
      <c r="A251" s="49">
        <v>44593</v>
      </c>
      <c r="B251" s="39">
        <v>0</v>
      </c>
      <c r="C251" s="39">
        <v>0</v>
      </c>
      <c r="D251" s="39">
        <v>3331.5415800000005</v>
      </c>
      <c r="E251" s="39">
        <v>3709.1706479219356</v>
      </c>
      <c r="F251" s="39">
        <v>2861.3710400000004</v>
      </c>
      <c r="G251" s="39">
        <v>1980.3500265175962</v>
      </c>
      <c r="H251" s="40">
        <v>0.11334964875987974</v>
      </c>
      <c r="I251" s="40">
        <v>-0.30790170207440282</v>
      </c>
      <c r="J251" s="40">
        <v>-8.1285168457692403E-2</v>
      </c>
    </row>
    <row r="252" spans="1:10" ht="11.25" customHeight="1" x14ac:dyDescent="0.2">
      <c r="A252" s="49">
        <v>44621</v>
      </c>
      <c r="B252" s="39">
        <v>0</v>
      </c>
      <c r="C252" s="39">
        <v>0</v>
      </c>
      <c r="D252" s="39">
        <v>4104.6995400000005</v>
      </c>
      <c r="E252" s="39">
        <v>4569.965791123841</v>
      </c>
      <c r="F252" s="39">
        <v>3525.41552</v>
      </c>
      <c r="G252" s="39">
        <v>2439.9340808724842</v>
      </c>
      <c r="H252" s="40">
        <v>0.11334964875987974</v>
      </c>
      <c r="I252" s="40">
        <v>-0.30790170207440282</v>
      </c>
      <c r="J252" s="40">
        <v>-8.1285168457692181E-2</v>
      </c>
    </row>
    <row r="253" spans="1:10" ht="11.25" customHeight="1" x14ac:dyDescent="0.2">
      <c r="A253" s="49">
        <v>44652</v>
      </c>
      <c r="B253" s="39">
        <v>0</v>
      </c>
      <c r="C253" s="39">
        <v>0</v>
      </c>
      <c r="D253" s="39">
        <v>3905.0934000000002</v>
      </c>
      <c r="E253" s="39">
        <v>4347.734365264525</v>
      </c>
      <c r="F253" s="39">
        <v>3353.9792000000002</v>
      </c>
      <c r="G253" s="39">
        <v>2321.2832955978561</v>
      </c>
      <c r="H253" s="40">
        <v>0.11334964875987974</v>
      </c>
      <c r="I253" s="40">
        <v>-0.30790170207440282</v>
      </c>
      <c r="J253" s="40">
        <v>-8.1285168457692514E-2</v>
      </c>
    </row>
    <row r="254" spans="1:10" ht="11.25" customHeight="1" x14ac:dyDescent="0.2">
      <c r="A254" s="49">
        <v>44682</v>
      </c>
      <c r="B254" s="39">
        <v>0</v>
      </c>
      <c r="C254" s="39">
        <v>0</v>
      </c>
      <c r="D254" s="39">
        <v>3791.3937000000005</v>
      </c>
      <c r="E254" s="39">
        <v>4221.146844205422</v>
      </c>
      <c r="F254" s="39">
        <v>3256.3256000000001</v>
      </c>
      <c r="G254" s="39">
        <v>2253.6974052515493</v>
      </c>
      <c r="H254" s="40">
        <v>0.11334964875987996</v>
      </c>
      <c r="I254" s="40">
        <v>-0.30790170207440271</v>
      </c>
      <c r="J254" s="40">
        <v>-8.1285168457692292E-2</v>
      </c>
    </row>
    <row r="255" spans="1:10" ht="11.25" customHeight="1" x14ac:dyDescent="0.2">
      <c r="A255" s="49">
        <v>44713</v>
      </c>
      <c r="B255" s="39">
        <v>0</v>
      </c>
      <c r="C255" s="39">
        <v>0</v>
      </c>
      <c r="D255" s="39">
        <v>3026.6579400000001</v>
      </c>
      <c r="E255" s="39">
        <v>3369.7285544153019</v>
      </c>
      <c r="F255" s="39">
        <v>2599.5147200000001</v>
      </c>
      <c r="G255" s="39">
        <v>1799.1197131445356</v>
      </c>
      <c r="H255" s="40">
        <v>0.11334964875987996</v>
      </c>
      <c r="I255" s="40">
        <v>-0.30790170207440271</v>
      </c>
      <c r="J255" s="40">
        <v>-8.1285168457692403E-2</v>
      </c>
    </row>
    <row r="256" spans="1:10" ht="11.25" customHeight="1" x14ac:dyDescent="0.2">
      <c r="A256" s="49">
        <v>44743</v>
      </c>
      <c r="B256" s="39">
        <v>0</v>
      </c>
      <c r="C256" s="39">
        <v>0</v>
      </c>
      <c r="D256" s="39">
        <v>3029.7460799999999</v>
      </c>
      <c r="E256" s="39">
        <v>3373.1667339996229</v>
      </c>
      <c r="F256" s="39">
        <v>2602.1670399999998</v>
      </c>
      <c r="G256" s="39">
        <v>1800.9553793020893</v>
      </c>
      <c r="H256" s="40">
        <v>0.11334964875987996</v>
      </c>
      <c r="I256" s="40">
        <v>-0.30790170207440282</v>
      </c>
      <c r="J256" s="40">
        <v>-8.1285168457692181E-2</v>
      </c>
    </row>
    <row r="257" spans="1:10" ht="11.25" customHeight="1" x14ac:dyDescent="0.2">
      <c r="A257" s="49">
        <v>44774</v>
      </c>
      <c r="B257" s="39">
        <v>0</v>
      </c>
      <c r="C257" s="39">
        <v>0</v>
      </c>
      <c r="D257" s="39">
        <v>2871.1279800000002</v>
      </c>
      <c r="E257" s="39">
        <v>3196.5693280776636</v>
      </c>
      <c r="F257" s="39">
        <v>2465.93424</v>
      </c>
      <c r="G257" s="39">
        <v>1706.6688903004513</v>
      </c>
      <c r="H257" s="40">
        <v>0.11334964875987996</v>
      </c>
      <c r="I257" s="40">
        <v>-0.30790170207440271</v>
      </c>
      <c r="J257" s="40">
        <v>-8.1285168457692292E-2</v>
      </c>
    </row>
    <row r="258" spans="1:10" ht="11.25" customHeight="1" x14ac:dyDescent="0.2">
      <c r="A258" s="45" t="s">
        <v>32</v>
      </c>
      <c r="B258" s="39">
        <v>0</v>
      </c>
      <c r="C258" s="39">
        <v>0</v>
      </c>
      <c r="D258" s="39">
        <v>11432.546429999999</v>
      </c>
      <c r="E258" s="39">
        <v>12728.557570198107</v>
      </c>
      <c r="F258" s="39">
        <v>9819.1694100000004</v>
      </c>
      <c r="G258" s="39">
        <v>6795.8586202537772</v>
      </c>
      <c r="H258" s="40">
        <v>0.11336154619038008</v>
      </c>
      <c r="I258" s="40">
        <v>-0.30789883171454757</v>
      </c>
      <c r="J258" s="40">
        <v>-8.1278126554703345E-2</v>
      </c>
    </row>
    <row r="259" spans="1:10" ht="11.25" customHeight="1" x14ac:dyDescent="0.2">
      <c r="A259" s="46" t="s">
        <v>25</v>
      </c>
      <c r="B259" s="39">
        <v>0</v>
      </c>
      <c r="C259" s="39">
        <v>0</v>
      </c>
      <c r="D259" s="39">
        <v>11432.546429999999</v>
      </c>
      <c r="E259" s="39">
        <v>12728.557570198107</v>
      </c>
      <c r="F259" s="39">
        <v>9819.1694100000004</v>
      </c>
      <c r="G259" s="39">
        <v>6795.8586202537772</v>
      </c>
      <c r="H259" s="40">
        <v>0.11336154619038008</v>
      </c>
      <c r="I259" s="40">
        <v>-0.30789883171454757</v>
      </c>
      <c r="J259" s="40">
        <v>-8.1278126554703345E-2</v>
      </c>
    </row>
    <row r="260" spans="1:10" ht="11.25" customHeight="1" x14ac:dyDescent="0.2">
      <c r="A260" s="47" t="s">
        <v>25</v>
      </c>
      <c r="B260" s="39">
        <v>0</v>
      </c>
      <c r="C260" s="39">
        <v>0</v>
      </c>
      <c r="D260" s="39">
        <v>11432.546429999999</v>
      </c>
      <c r="E260" s="39">
        <v>12728.557570198107</v>
      </c>
      <c r="F260" s="39">
        <v>9819.1694100000004</v>
      </c>
      <c r="G260" s="39">
        <v>6795.8586202537772</v>
      </c>
      <c r="H260" s="40">
        <v>0.11336154619038008</v>
      </c>
      <c r="I260" s="40">
        <v>-0.30789883171454757</v>
      </c>
      <c r="J260" s="40">
        <v>-8.1278126554703345E-2</v>
      </c>
    </row>
    <row r="261" spans="1:10" ht="11.25" customHeight="1" x14ac:dyDescent="0.2">
      <c r="A261" s="48" t="s">
        <v>25</v>
      </c>
      <c r="B261" s="39">
        <v>0</v>
      </c>
      <c r="C261" s="39">
        <v>0</v>
      </c>
      <c r="D261" s="39">
        <v>11432.546429999999</v>
      </c>
      <c r="E261" s="39">
        <v>12728.557570198107</v>
      </c>
      <c r="F261" s="39">
        <v>9819.1694100000004</v>
      </c>
      <c r="G261" s="39">
        <v>6795.8586202537772</v>
      </c>
      <c r="H261" s="40">
        <v>0.11336154619038008</v>
      </c>
      <c r="I261" s="40">
        <v>-0.30789883171454757</v>
      </c>
      <c r="J261" s="40">
        <v>-8.1278126554703345E-2</v>
      </c>
    </row>
    <row r="262" spans="1:10" ht="11.25" customHeight="1" x14ac:dyDescent="0.2">
      <c r="A262" s="49">
        <v>44440</v>
      </c>
      <c r="B262" s="39">
        <v>0</v>
      </c>
      <c r="C262" s="39">
        <v>0</v>
      </c>
      <c r="D262" s="39">
        <v>725.23725000000002</v>
      </c>
      <c r="E262" s="39">
        <v>807.45126601485913</v>
      </c>
      <c r="F262" s="39">
        <v>622.89075000000014</v>
      </c>
      <c r="G262" s="39">
        <v>431.10341578920173</v>
      </c>
      <c r="H262" s="40">
        <v>0.11336154619037986</v>
      </c>
      <c r="I262" s="40">
        <v>-0.30789883171454768</v>
      </c>
      <c r="J262" s="40">
        <v>-8.1278126554703456E-2</v>
      </c>
    </row>
    <row r="263" spans="1:10" ht="11.25" customHeight="1" x14ac:dyDescent="0.2">
      <c r="A263" s="49">
        <v>44470</v>
      </c>
      <c r="B263" s="39">
        <v>0</v>
      </c>
      <c r="C263" s="39">
        <v>0</v>
      </c>
      <c r="D263" s="39">
        <v>961.68019000000004</v>
      </c>
      <c r="E263" s="39">
        <v>1070.6977432790584</v>
      </c>
      <c r="F263" s="39">
        <v>825.96653000000015</v>
      </c>
      <c r="G263" s="39">
        <v>571.65240037768126</v>
      </c>
      <c r="H263" s="40">
        <v>0.11336154619037986</v>
      </c>
      <c r="I263" s="40">
        <v>-0.30789883171454757</v>
      </c>
      <c r="J263" s="40">
        <v>-8.1278126554703456E-2</v>
      </c>
    </row>
    <row r="264" spans="1:10" ht="11.25" customHeight="1" x14ac:dyDescent="0.2">
      <c r="A264" s="49">
        <v>44501</v>
      </c>
      <c r="B264" s="39">
        <v>0</v>
      </c>
      <c r="C264" s="39">
        <v>0</v>
      </c>
      <c r="D264" s="39">
        <v>733.97129000000007</v>
      </c>
      <c r="E264" s="39">
        <v>817.17541029374775</v>
      </c>
      <c r="F264" s="39">
        <v>630.39223000000015</v>
      </c>
      <c r="G264" s="39">
        <v>436.2951988610717</v>
      </c>
      <c r="H264" s="40">
        <v>0.11336154619037986</v>
      </c>
      <c r="I264" s="40">
        <v>-0.30789883171454768</v>
      </c>
      <c r="J264" s="40">
        <v>-8.1278126554703678E-2</v>
      </c>
    </row>
    <row r="265" spans="1:10" ht="11.25" customHeight="1" x14ac:dyDescent="0.2">
      <c r="A265" s="49">
        <v>44531</v>
      </c>
      <c r="B265" s="39">
        <v>0</v>
      </c>
      <c r="C265" s="39">
        <v>0</v>
      </c>
      <c r="D265" s="39">
        <v>1102.9844800000001</v>
      </c>
      <c r="E265" s="39">
        <v>1228.0205060767921</v>
      </c>
      <c r="F265" s="39">
        <v>947.32976000000008</v>
      </c>
      <c r="G265" s="39">
        <v>655.64803364757722</v>
      </c>
      <c r="H265" s="40">
        <v>0.11336154619037986</v>
      </c>
      <c r="I265" s="40">
        <v>-0.30789883171454768</v>
      </c>
      <c r="J265" s="40">
        <v>-8.1278126554703567E-2</v>
      </c>
    </row>
    <row r="266" spans="1:10" ht="11.25" customHeight="1" x14ac:dyDescent="0.2">
      <c r="A266" s="49">
        <v>44562</v>
      </c>
      <c r="B266" s="39">
        <v>0</v>
      </c>
      <c r="C266" s="39">
        <v>0</v>
      </c>
      <c r="D266" s="39">
        <v>1059.3142800000001</v>
      </c>
      <c r="E266" s="39">
        <v>1179.3997846823488</v>
      </c>
      <c r="F266" s="39">
        <v>909.82236000000012</v>
      </c>
      <c r="G266" s="39">
        <v>629.68911828822752</v>
      </c>
      <c r="H266" s="40">
        <v>0.11336154619037964</v>
      </c>
      <c r="I266" s="40">
        <v>-0.30789883171454757</v>
      </c>
      <c r="J266" s="40">
        <v>-8.1278126554703567E-2</v>
      </c>
    </row>
    <row r="267" spans="1:10" ht="11.25" customHeight="1" x14ac:dyDescent="0.2">
      <c r="A267" s="49">
        <v>44593</v>
      </c>
      <c r="B267" s="39">
        <v>0</v>
      </c>
      <c r="C267" s="39">
        <v>0</v>
      </c>
      <c r="D267" s="39">
        <v>1067.73639</v>
      </c>
      <c r="E267" s="39">
        <v>1188.7766380941343</v>
      </c>
      <c r="F267" s="39">
        <v>917.0559300000001</v>
      </c>
      <c r="G267" s="39">
        <v>634.69548053610208</v>
      </c>
      <c r="H267" s="40">
        <v>0.11336154619037964</v>
      </c>
      <c r="I267" s="40">
        <v>-0.30789883171454768</v>
      </c>
      <c r="J267" s="40">
        <v>-8.1278126554703567E-2</v>
      </c>
    </row>
    <row r="268" spans="1:10" ht="11.25" customHeight="1" x14ac:dyDescent="0.2">
      <c r="A268" s="49">
        <v>44621</v>
      </c>
      <c r="B268" s="39">
        <v>0</v>
      </c>
      <c r="C268" s="39">
        <v>0</v>
      </c>
      <c r="D268" s="39">
        <v>1509.11734</v>
      </c>
      <c r="E268" s="39">
        <v>1680.1932150451132</v>
      </c>
      <c r="F268" s="39">
        <v>1296.14858</v>
      </c>
      <c r="G268" s="39">
        <v>897.06594648953023</v>
      </c>
      <c r="H268" s="40">
        <v>0.11336154619037986</v>
      </c>
      <c r="I268" s="40">
        <v>-0.30789883171454757</v>
      </c>
      <c r="J268" s="40">
        <v>-8.1278126554703345E-2</v>
      </c>
    </row>
    <row r="269" spans="1:10" ht="11.25" customHeight="1" x14ac:dyDescent="0.2">
      <c r="A269" s="49">
        <v>44652</v>
      </c>
      <c r="B269" s="39">
        <v>0</v>
      </c>
      <c r="C269" s="39">
        <v>0</v>
      </c>
      <c r="D269" s="39">
        <v>1366.87726</v>
      </c>
      <c r="E269" s="39">
        <v>1521.8285796460696</v>
      </c>
      <c r="F269" s="39">
        <v>1173.98162</v>
      </c>
      <c r="G269" s="39">
        <v>812.51405074764796</v>
      </c>
      <c r="H269" s="40">
        <v>0.11336154619037964</v>
      </c>
      <c r="I269" s="40">
        <v>-0.30789883171454768</v>
      </c>
      <c r="J269" s="40">
        <v>-8.1278126554703456E-2</v>
      </c>
    </row>
    <row r="270" spans="1:10" ht="11.25" customHeight="1" x14ac:dyDescent="0.2">
      <c r="A270" s="49">
        <v>44682</v>
      </c>
      <c r="B270" s="39">
        <v>0</v>
      </c>
      <c r="C270" s="39">
        <v>0</v>
      </c>
      <c r="D270" s="39">
        <v>837.53205000000003</v>
      </c>
      <c r="E270" s="39">
        <v>932.47597817199846</v>
      </c>
      <c r="F270" s="39">
        <v>719.3383500000001</v>
      </c>
      <c r="G270" s="39">
        <v>497.85491242752971</v>
      </c>
      <c r="H270" s="40">
        <v>0.11336154619037964</v>
      </c>
      <c r="I270" s="40">
        <v>-0.30789883171454757</v>
      </c>
      <c r="J270" s="40">
        <v>-8.1278126554703567E-2</v>
      </c>
    </row>
    <row r="271" spans="1:10" ht="11.25" customHeight="1" x14ac:dyDescent="0.2">
      <c r="A271" s="49">
        <v>44713</v>
      </c>
      <c r="B271" s="39">
        <v>0</v>
      </c>
      <c r="C271" s="39">
        <v>0</v>
      </c>
      <c r="D271" s="39">
        <v>622.61228000000006</v>
      </c>
      <c r="E271" s="39">
        <v>693.19257073791766</v>
      </c>
      <c r="F271" s="39">
        <v>534.74836000000005</v>
      </c>
      <c r="G271" s="39">
        <v>370.09996469472969</v>
      </c>
      <c r="H271" s="40">
        <v>0.11336154619037964</v>
      </c>
      <c r="I271" s="40">
        <v>-0.30789883171454768</v>
      </c>
      <c r="J271" s="40">
        <v>-8.1278126554703567E-2</v>
      </c>
    </row>
    <row r="272" spans="1:10" ht="11.25" customHeight="1" x14ac:dyDescent="0.2">
      <c r="A272" s="49">
        <v>44743</v>
      </c>
      <c r="B272" s="39">
        <v>0</v>
      </c>
      <c r="C272" s="39">
        <v>0</v>
      </c>
      <c r="D272" s="39">
        <v>643.82352000000003</v>
      </c>
      <c r="E272" s="39">
        <v>716.80834970093292</v>
      </c>
      <c r="F272" s="39">
        <v>552.96624000000008</v>
      </c>
      <c r="G272" s="39">
        <v>382.70858072641391</v>
      </c>
      <c r="H272" s="40">
        <v>0.11336154619037986</v>
      </c>
      <c r="I272" s="40">
        <v>-0.30789883171454757</v>
      </c>
      <c r="J272" s="40">
        <v>-8.1278126554703567E-2</v>
      </c>
    </row>
    <row r="273" spans="1:10" ht="11.25" customHeight="1" x14ac:dyDescent="0.2">
      <c r="A273" s="49">
        <v>44774</v>
      </c>
      <c r="B273" s="39">
        <v>0</v>
      </c>
      <c r="C273" s="39">
        <v>0</v>
      </c>
      <c r="D273" s="39">
        <v>801.66009999999994</v>
      </c>
      <c r="E273" s="39">
        <v>892.53752845513441</v>
      </c>
      <c r="F273" s="39">
        <v>688.52870000000007</v>
      </c>
      <c r="G273" s="39">
        <v>476.53151766806377</v>
      </c>
      <c r="H273" s="40">
        <v>0.11336154619037986</v>
      </c>
      <c r="I273" s="40">
        <v>-0.30789883171454768</v>
      </c>
      <c r="J273" s="40">
        <v>-8.1278126554703456E-2</v>
      </c>
    </row>
    <row r="274" spans="1:10" ht="11.25" customHeight="1" x14ac:dyDescent="0.2">
      <c r="A274" s="42" t="s">
        <v>40</v>
      </c>
      <c r="B274" s="39">
        <v>0</v>
      </c>
      <c r="C274" s="39">
        <v>0</v>
      </c>
      <c r="D274" s="39">
        <v>1511979.8240799999</v>
      </c>
      <c r="E274" s="39">
        <v>2010611.343224772</v>
      </c>
      <c r="F274" s="39">
        <v>1101490.5238399997</v>
      </c>
      <c r="G274" s="39">
        <v>814323.56515218574</v>
      </c>
      <c r="H274" s="40">
        <v>0.32978715139150472</v>
      </c>
      <c r="I274" s="40">
        <v>-0.26070760707654317</v>
      </c>
      <c r="J274" s="40">
        <v>8.0913319190805799E-2</v>
      </c>
    </row>
    <row r="275" spans="1:10" ht="11.25" customHeight="1" x14ac:dyDescent="0.2">
      <c r="A275" s="43" t="s">
        <v>23</v>
      </c>
      <c r="B275" s="39">
        <v>0</v>
      </c>
      <c r="C275" s="39">
        <v>0</v>
      </c>
      <c r="D275" s="39">
        <v>1511979.8240799999</v>
      </c>
      <c r="E275" s="39">
        <v>2010611.343224772</v>
      </c>
      <c r="F275" s="39">
        <v>1101490.5238399997</v>
      </c>
      <c r="G275" s="39">
        <v>814323.56515218574</v>
      </c>
      <c r="H275" s="40">
        <v>0.32978715139150472</v>
      </c>
      <c r="I275" s="40">
        <v>-0.26070760707654317</v>
      </c>
      <c r="J275" s="40">
        <v>8.0913319190805799E-2</v>
      </c>
    </row>
    <row r="276" spans="1:10" ht="11.25" customHeight="1" x14ac:dyDescent="0.2">
      <c r="A276" s="44" t="s">
        <v>41</v>
      </c>
      <c r="B276" s="39">
        <v>0</v>
      </c>
      <c r="C276" s="39">
        <v>0</v>
      </c>
      <c r="D276" s="39">
        <v>1511979.8240799999</v>
      </c>
      <c r="E276" s="39">
        <v>2010611.343224772</v>
      </c>
      <c r="F276" s="39">
        <v>1101490.5238399997</v>
      </c>
      <c r="G276" s="39">
        <v>814323.56515218574</v>
      </c>
      <c r="H276" s="40">
        <v>0.32978715139150472</v>
      </c>
      <c r="I276" s="40">
        <v>-0.26070760707654317</v>
      </c>
      <c r="J276" s="40">
        <v>8.0913319190805799E-2</v>
      </c>
    </row>
    <row r="277" spans="1:10" ht="11.25" customHeight="1" x14ac:dyDescent="0.2">
      <c r="A277" s="45" t="s">
        <v>50</v>
      </c>
      <c r="B277" s="39">
        <v>0</v>
      </c>
      <c r="C277" s="39">
        <v>0</v>
      </c>
      <c r="D277" s="39">
        <v>364718.89858800004</v>
      </c>
      <c r="E277" s="39">
        <v>484998.50521198369</v>
      </c>
      <c r="F277" s="39">
        <v>265700.90702399996</v>
      </c>
      <c r="G277" s="39">
        <v>196430.65935570589</v>
      </c>
      <c r="H277" s="40">
        <v>0.32978715139150472</v>
      </c>
      <c r="I277" s="40">
        <v>-0.26070760707654295</v>
      </c>
      <c r="J277" s="40">
        <v>8.0913319190806021E-2</v>
      </c>
    </row>
    <row r="278" spans="1:10" ht="11.25" customHeight="1" x14ac:dyDescent="0.2">
      <c r="A278" s="46" t="s">
        <v>51</v>
      </c>
      <c r="B278" s="39">
        <v>0</v>
      </c>
      <c r="C278" s="39">
        <v>0</v>
      </c>
      <c r="D278" s="39">
        <v>279832.59590000001</v>
      </c>
      <c r="E278" s="39">
        <v>372117.79056835116</v>
      </c>
      <c r="F278" s="39">
        <v>203860.49319999997</v>
      </c>
      <c r="G278" s="39">
        <v>150712.51184038416</v>
      </c>
      <c r="H278" s="40">
        <v>0.32978715139150494</v>
      </c>
      <c r="I278" s="40">
        <v>-0.26070760707654272</v>
      </c>
      <c r="J278" s="40">
        <v>8.0913319190806243E-2</v>
      </c>
    </row>
    <row r="279" spans="1:10" ht="11.25" customHeight="1" x14ac:dyDescent="0.2">
      <c r="A279" s="47" t="s">
        <v>25</v>
      </c>
      <c r="B279" s="39">
        <v>0</v>
      </c>
      <c r="C279" s="39">
        <v>0</v>
      </c>
      <c r="D279" s="39">
        <v>279832.59590000001</v>
      </c>
      <c r="E279" s="39">
        <v>372117.79056835116</v>
      </c>
      <c r="F279" s="39">
        <v>203860.49319999997</v>
      </c>
      <c r="G279" s="39">
        <v>150712.51184038416</v>
      </c>
      <c r="H279" s="40">
        <v>0.32978715139150494</v>
      </c>
      <c r="I279" s="40">
        <v>-0.26070760707654272</v>
      </c>
      <c r="J279" s="40">
        <v>8.0913319190806243E-2</v>
      </c>
    </row>
    <row r="280" spans="1:10" ht="11.25" customHeight="1" x14ac:dyDescent="0.2">
      <c r="A280" s="48" t="s">
        <v>25</v>
      </c>
      <c r="B280" s="39">
        <v>0</v>
      </c>
      <c r="C280" s="39">
        <v>0</v>
      </c>
      <c r="D280" s="39">
        <v>279832.59590000001</v>
      </c>
      <c r="E280" s="39">
        <v>372117.79056835116</v>
      </c>
      <c r="F280" s="39">
        <v>203860.49319999997</v>
      </c>
      <c r="G280" s="39">
        <v>150712.51184038416</v>
      </c>
      <c r="H280" s="40">
        <v>0.32978715139150494</v>
      </c>
      <c r="I280" s="40">
        <v>-0.26070760707654272</v>
      </c>
      <c r="J280" s="40">
        <v>8.0913319190806243E-2</v>
      </c>
    </row>
    <row r="281" spans="1:10" ht="11.25" customHeight="1" x14ac:dyDescent="0.2">
      <c r="A281" s="49">
        <v>44440</v>
      </c>
      <c r="B281" s="39">
        <v>0</v>
      </c>
      <c r="C281" s="39">
        <v>0</v>
      </c>
      <c r="D281" s="39">
        <v>37058.373440000003</v>
      </c>
      <c r="E281" s="39">
        <v>49279.748851980214</v>
      </c>
      <c r="F281" s="39">
        <v>26997.349119999999</v>
      </c>
      <c r="G281" s="39">
        <v>19958.934833514788</v>
      </c>
      <c r="H281" s="40">
        <v>0.32978715139150494</v>
      </c>
      <c r="I281" s="40">
        <v>-0.26070760707654295</v>
      </c>
      <c r="J281" s="40">
        <v>8.0913319190806021E-2</v>
      </c>
    </row>
    <row r="282" spans="1:10" ht="11.25" customHeight="1" x14ac:dyDescent="0.2">
      <c r="A282" s="49">
        <v>44470</v>
      </c>
      <c r="B282" s="39">
        <v>0</v>
      </c>
      <c r="C282" s="39">
        <v>0</v>
      </c>
      <c r="D282" s="39">
        <v>47163.407939999997</v>
      </c>
      <c r="E282" s="39">
        <v>62717.293894448092</v>
      </c>
      <c r="F282" s="39">
        <v>34358.955119999999</v>
      </c>
      <c r="G282" s="39">
        <v>25401.314149014466</v>
      </c>
      <c r="H282" s="40">
        <v>0.32978715139150516</v>
      </c>
      <c r="I282" s="40">
        <v>-0.26070760707654295</v>
      </c>
      <c r="J282" s="40">
        <v>8.0913319190806021E-2</v>
      </c>
    </row>
    <row r="283" spans="1:10" ht="11.25" customHeight="1" x14ac:dyDescent="0.2">
      <c r="A283" s="49">
        <v>44501</v>
      </c>
      <c r="B283" s="39">
        <v>0</v>
      </c>
      <c r="C283" s="39">
        <v>0</v>
      </c>
      <c r="D283" s="39">
        <v>11737.697400000001</v>
      </c>
      <c r="E283" s="39">
        <v>15608.639189441477</v>
      </c>
      <c r="F283" s="39">
        <v>8551.0151999999998</v>
      </c>
      <c r="G283" s="39">
        <v>6321.7004891328543</v>
      </c>
      <c r="H283" s="40">
        <v>0.32978715139150516</v>
      </c>
      <c r="I283" s="40">
        <v>-0.26070760707654284</v>
      </c>
      <c r="J283" s="40">
        <v>8.0913319190806243E-2</v>
      </c>
    </row>
    <row r="284" spans="1:10" ht="11.25" customHeight="1" x14ac:dyDescent="0.2">
      <c r="A284" s="49">
        <v>44531</v>
      </c>
      <c r="B284" s="39">
        <v>0</v>
      </c>
      <c r="C284" s="39">
        <v>0</v>
      </c>
      <c r="D284" s="39">
        <v>9477.2116999999998</v>
      </c>
      <c r="E284" s="39">
        <v>12602.674349677243</v>
      </c>
      <c r="F284" s="39">
        <v>6904.2316000000001</v>
      </c>
      <c r="G284" s="39">
        <v>5104.2459008617489</v>
      </c>
      <c r="H284" s="40">
        <v>0.32978715139150516</v>
      </c>
      <c r="I284" s="40">
        <v>-0.26070760707654295</v>
      </c>
      <c r="J284" s="40">
        <v>8.0913319190806021E-2</v>
      </c>
    </row>
    <row r="285" spans="1:10" ht="11.25" customHeight="1" x14ac:dyDescent="0.2">
      <c r="A285" s="49">
        <v>44562</v>
      </c>
      <c r="B285" s="39">
        <v>0</v>
      </c>
      <c r="C285" s="39">
        <v>0</v>
      </c>
      <c r="D285" s="39">
        <v>4139.7470400000002</v>
      </c>
      <c r="E285" s="39">
        <v>5504.9824238030151</v>
      </c>
      <c r="F285" s="39">
        <v>3015.8419199999998</v>
      </c>
      <c r="G285" s="39">
        <v>2229.5889897156731</v>
      </c>
      <c r="H285" s="40">
        <v>0.32978715139150494</v>
      </c>
      <c r="I285" s="40">
        <v>-0.26070760707654295</v>
      </c>
      <c r="J285" s="40">
        <v>8.0913319190806021E-2</v>
      </c>
    </row>
    <row r="286" spans="1:10" ht="11.25" customHeight="1" x14ac:dyDescent="0.2">
      <c r="A286" s="49">
        <v>44593</v>
      </c>
      <c r="B286" s="39">
        <v>0</v>
      </c>
      <c r="C286" s="39">
        <v>0</v>
      </c>
      <c r="D286" s="39">
        <v>2325.2096999999999</v>
      </c>
      <c r="E286" s="39">
        <v>3092.0339833508961</v>
      </c>
      <c r="F286" s="39">
        <v>1693.9355999999998</v>
      </c>
      <c r="G286" s="39">
        <v>1252.3137031822318</v>
      </c>
      <c r="H286" s="40">
        <v>0.32978715139150516</v>
      </c>
      <c r="I286" s="40">
        <v>-0.26070760707654295</v>
      </c>
      <c r="J286" s="40">
        <v>8.0913319190806021E-2</v>
      </c>
    </row>
    <row r="287" spans="1:10" ht="11.25" customHeight="1" x14ac:dyDescent="0.2">
      <c r="A287" s="49">
        <v>44621</v>
      </c>
      <c r="B287" s="39">
        <v>0</v>
      </c>
      <c r="C287" s="39">
        <v>0</v>
      </c>
      <c r="D287" s="39">
        <v>7168.8302400000002</v>
      </c>
      <c r="E287" s="39">
        <v>9533.0183436588813</v>
      </c>
      <c r="F287" s="39">
        <v>5222.5555199999999</v>
      </c>
      <c r="G287" s="39">
        <v>3860.9955675564097</v>
      </c>
      <c r="H287" s="40">
        <v>0.32978715139150516</v>
      </c>
      <c r="I287" s="40">
        <v>-0.26070760707654295</v>
      </c>
      <c r="J287" s="40">
        <v>8.0913319190806021E-2</v>
      </c>
    </row>
    <row r="288" spans="1:10" ht="11.25" customHeight="1" x14ac:dyDescent="0.2">
      <c r="A288" s="49">
        <v>44652</v>
      </c>
      <c r="B288" s="39">
        <v>0</v>
      </c>
      <c r="C288" s="39">
        <v>0</v>
      </c>
      <c r="D288" s="39">
        <v>10258.106760000001</v>
      </c>
      <c r="E288" s="39">
        <v>13641.098567050343</v>
      </c>
      <c r="F288" s="39">
        <v>7473.1204799999996</v>
      </c>
      <c r="G288" s="39">
        <v>5524.8211222644941</v>
      </c>
      <c r="H288" s="40">
        <v>0.32978715139150516</v>
      </c>
      <c r="I288" s="40">
        <v>-0.26070760707654295</v>
      </c>
      <c r="J288" s="40">
        <v>8.0913319190806021E-2</v>
      </c>
    </row>
    <row r="289" spans="1:10" ht="11.25" customHeight="1" x14ac:dyDescent="0.2">
      <c r="A289" s="49">
        <v>44682</v>
      </c>
      <c r="B289" s="39">
        <v>0</v>
      </c>
      <c r="C289" s="39">
        <v>0</v>
      </c>
      <c r="D289" s="39">
        <v>31213.472619999997</v>
      </c>
      <c r="E289" s="39">
        <v>41507.274840386541</v>
      </c>
      <c r="F289" s="39">
        <v>22739.287759999999</v>
      </c>
      <c r="G289" s="39">
        <v>16810.982461465475</v>
      </c>
      <c r="H289" s="40">
        <v>0.32978715139150538</v>
      </c>
      <c r="I289" s="40">
        <v>-0.26070760707654306</v>
      </c>
      <c r="J289" s="40">
        <v>8.0913319190806243E-2</v>
      </c>
    </row>
    <row r="290" spans="1:10" ht="11.25" customHeight="1" x14ac:dyDescent="0.2">
      <c r="A290" s="49">
        <v>44713</v>
      </c>
      <c r="B290" s="39">
        <v>0</v>
      </c>
      <c r="C290" s="39">
        <v>0</v>
      </c>
      <c r="D290" s="39">
        <v>34761.6423</v>
      </c>
      <c r="E290" s="39">
        <v>46225.585291807452</v>
      </c>
      <c r="F290" s="39">
        <v>25324.160400000001</v>
      </c>
      <c r="G290" s="39">
        <v>18721.959140893454</v>
      </c>
      <c r="H290" s="40">
        <v>0.32978715139150516</v>
      </c>
      <c r="I290" s="40">
        <v>-0.26070760707654284</v>
      </c>
      <c r="J290" s="40">
        <v>8.0913319190806243E-2</v>
      </c>
    </row>
    <row r="291" spans="1:10" ht="11.25" customHeight="1" x14ac:dyDescent="0.2">
      <c r="A291" s="49">
        <v>44743</v>
      </c>
      <c r="B291" s="39">
        <v>0</v>
      </c>
      <c r="C291" s="39">
        <v>0</v>
      </c>
      <c r="D291" s="39">
        <v>33934.469579999997</v>
      </c>
      <c r="E291" s="39">
        <v>45125.621636769887</v>
      </c>
      <c r="F291" s="39">
        <v>24721.557839999998</v>
      </c>
      <c r="G291" s="39">
        <v>18276.459652329249</v>
      </c>
      <c r="H291" s="40">
        <v>0.32978715139150538</v>
      </c>
      <c r="I291" s="40">
        <v>-0.26070760707654295</v>
      </c>
      <c r="J291" s="40">
        <v>8.0913319190806243E-2</v>
      </c>
    </row>
    <row r="292" spans="1:10" ht="11.25" customHeight="1" x14ac:dyDescent="0.2">
      <c r="A292" s="49">
        <v>44774</v>
      </c>
      <c r="B292" s="39">
        <v>0</v>
      </c>
      <c r="C292" s="39">
        <v>0</v>
      </c>
      <c r="D292" s="39">
        <v>50594.427179999999</v>
      </c>
      <c r="E292" s="39">
        <v>67279.819195977136</v>
      </c>
      <c r="F292" s="39">
        <v>36858.482639999995</v>
      </c>
      <c r="G292" s="39">
        <v>27249.1958304533</v>
      </c>
      <c r="H292" s="40">
        <v>0.32978715139150494</v>
      </c>
      <c r="I292" s="40">
        <v>-0.26070760707654284</v>
      </c>
      <c r="J292" s="40">
        <v>8.0913319190806021E-2</v>
      </c>
    </row>
    <row r="293" spans="1:10" ht="11.25" customHeight="1" x14ac:dyDescent="0.2">
      <c r="A293" s="46" t="s">
        <v>52</v>
      </c>
      <c r="B293" s="39">
        <v>0</v>
      </c>
      <c r="C293" s="39">
        <v>0</v>
      </c>
      <c r="D293" s="39">
        <v>84886.302688000011</v>
      </c>
      <c r="E293" s="39">
        <v>112880.71464363259</v>
      </c>
      <c r="F293" s="39">
        <v>61840.413823999996</v>
      </c>
      <c r="G293" s="39">
        <v>45718.147515321791</v>
      </c>
      <c r="H293" s="40">
        <v>0.32978715139150494</v>
      </c>
      <c r="I293" s="40">
        <v>-0.26070760707654295</v>
      </c>
      <c r="J293" s="40">
        <v>8.0913319190806021E-2</v>
      </c>
    </row>
    <row r="294" spans="1:10" ht="11.25" customHeight="1" x14ac:dyDescent="0.2">
      <c r="A294" s="47" t="s">
        <v>25</v>
      </c>
      <c r="B294" s="39">
        <v>0</v>
      </c>
      <c r="C294" s="39">
        <v>0</v>
      </c>
      <c r="D294" s="39">
        <v>84886.302688000011</v>
      </c>
      <c r="E294" s="39">
        <v>112880.71464363259</v>
      </c>
      <c r="F294" s="39">
        <v>61840.413823999996</v>
      </c>
      <c r="G294" s="39">
        <v>45718.147515321791</v>
      </c>
      <c r="H294" s="40">
        <v>0.32978715139150494</v>
      </c>
      <c r="I294" s="40">
        <v>-0.26070760707654295</v>
      </c>
      <c r="J294" s="40">
        <v>8.0913319190806021E-2</v>
      </c>
    </row>
    <row r="295" spans="1:10" ht="11.25" customHeight="1" x14ac:dyDescent="0.2">
      <c r="A295" s="48" t="s">
        <v>25</v>
      </c>
      <c r="B295" s="39">
        <v>0</v>
      </c>
      <c r="C295" s="39">
        <v>0</v>
      </c>
      <c r="D295" s="39">
        <v>84886.302688000011</v>
      </c>
      <c r="E295" s="39">
        <v>112880.71464363259</v>
      </c>
      <c r="F295" s="39">
        <v>61840.413823999996</v>
      </c>
      <c r="G295" s="39">
        <v>45718.147515321791</v>
      </c>
      <c r="H295" s="40">
        <v>0.32978715139150494</v>
      </c>
      <c r="I295" s="40">
        <v>-0.26070760707654295</v>
      </c>
      <c r="J295" s="40">
        <v>8.0913319190806021E-2</v>
      </c>
    </row>
    <row r="296" spans="1:10" ht="11.25" customHeight="1" x14ac:dyDescent="0.2">
      <c r="A296" s="49">
        <v>44440</v>
      </c>
      <c r="B296" s="39">
        <v>0</v>
      </c>
      <c r="C296" s="39">
        <v>0</v>
      </c>
      <c r="D296" s="39">
        <v>11358.026416000001</v>
      </c>
      <c r="E296" s="39">
        <v>15103.757593162107</v>
      </c>
      <c r="F296" s="39">
        <v>8274.4215679999998</v>
      </c>
      <c r="G296" s="39">
        <v>6117.2169210641841</v>
      </c>
      <c r="H296" s="40">
        <v>0.32978715139150516</v>
      </c>
      <c r="I296" s="40">
        <v>-0.26070760707654284</v>
      </c>
      <c r="J296" s="40">
        <v>8.0913319190806243E-2</v>
      </c>
    </row>
    <row r="297" spans="1:10" ht="11.25" customHeight="1" x14ac:dyDescent="0.2">
      <c r="A297" s="49">
        <v>44470</v>
      </c>
      <c r="B297" s="39">
        <v>0</v>
      </c>
      <c r="C297" s="39">
        <v>0</v>
      </c>
      <c r="D297" s="39">
        <v>14498.564344</v>
      </c>
      <c r="E297" s="39">
        <v>19280.004578274205</v>
      </c>
      <c r="F297" s="39">
        <v>10562.330911999999</v>
      </c>
      <c r="G297" s="39">
        <v>7808.6508947818802</v>
      </c>
      <c r="H297" s="40">
        <v>0.32978715139150494</v>
      </c>
      <c r="I297" s="40">
        <v>-0.26070760707654295</v>
      </c>
      <c r="J297" s="40">
        <v>8.0913319190806021E-2</v>
      </c>
    </row>
    <row r="298" spans="1:10" ht="11.25" customHeight="1" x14ac:dyDescent="0.2">
      <c r="A298" s="49">
        <v>44501</v>
      </c>
      <c r="B298" s="39">
        <v>0</v>
      </c>
      <c r="C298" s="39">
        <v>0</v>
      </c>
      <c r="D298" s="39">
        <v>2928.1137600000002</v>
      </c>
      <c r="E298" s="39">
        <v>3893.7680558606694</v>
      </c>
      <c r="F298" s="39">
        <v>2133.1564800000001</v>
      </c>
      <c r="G298" s="39">
        <v>1577.0263585793784</v>
      </c>
      <c r="H298" s="40">
        <v>0.32978715139150516</v>
      </c>
      <c r="I298" s="40">
        <v>-0.26070760707654306</v>
      </c>
      <c r="J298" s="40">
        <v>8.0913319190806243E-2</v>
      </c>
    </row>
    <row r="299" spans="1:10" ht="11.25" customHeight="1" x14ac:dyDescent="0.2">
      <c r="A299" s="49">
        <v>44531</v>
      </c>
      <c r="B299" s="39">
        <v>0</v>
      </c>
      <c r="C299" s="39">
        <v>0</v>
      </c>
      <c r="D299" s="39">
        <v>2236.6025439999999</v>
      </c>
      <c r="E299" s="39">
        <v>2974.2053257807534</v>
      </c>
      <c r="F299" s="39">
        <v>1629.3845119999999</v>
      </c>
      <c r="G299" s="39">
        <v>1204.5915748688992</v>
      </c>
      <c r="H299" s="40">
        <v>0.32978715139150516</v>
      </c>
      <c r="I299" s="40">
        <v>-0.26070760707654295</v>
      </c>
      <c r="J299" s="40">
        <v>8.0913319190806021E-2</v>
      </c>
    </row>
    <row r="300" spans="1:10" ht="11.25" customHeight="1" x14ac:dyDescent="0.2">
      <c r="A300" s="49">
        <v>44562</v>
      </c>
      <c r="B300" s="39">
        <v>0</v>
      </c>
      <c r="C300" s="39">
        <v>0</v>
      </c>
      <c r="D300" s="39">
        <v>720.37811999999997</v>
      </c>
      <c r="E300" s="39">
        <v>957.94956811956786</v>
      </c>
      <c r="F300" s="39">
        <v>524.80175999999994</v>
      </c>
      <c r="G300" s="39">
        <v>387.98194896084181</v>
      </c>
      <c r="H300" s="40">
        <v>0.32978715139150516</v>
      </c>
      <c r="I300" s="40">
        <v>-0.26070760707654284</v>
      </c>
      <c r="J300" s="40">
        <v>8.0913319190806243E-2</v>
      </c>
    </row>
    <row r="301" spans="1:10" ht="11.25" customHeight="1" x14ac:dyDescent="0.2">
      <c r="A301" s="49">
        <v>44593</v>
      </c>
      <c r="B301" s="39">
        <v>0</v>
      </c>
      <c r="C301" s="39">
        <v>0</v>
      </c>
      <c r="D301" s="39">
        <v>636.62526400000002</v>
      </c>
      <c r="E301" s="39">
        <v>846.5760963184249</v>
      </c>
      <c r="F301" s="39">
        <v>463.78707200000002</v>
      </c>
      <c r="G301" s="39">
        <v>342.87425426584366</v>
      </c>
      <c r="H301" s="40">
        <v>0.32978715139150516</v>
      </c>
      <c r="I301" s="40">
        <v>-0.26070760707654295</v>
      </c>
      <c r="J301" s="40">
        <v>8.0913319190806021E-2</v>
      </c>
    </row>
    <row r="302" spans="1:10" ht="11.25" customHeight="1" x14ac:dyDescent="0.2">
      <c r="A302" s="49">
        <v>44621</v>
      </c>
      <c r="B302" s="39">
        <v>0</v>
      </c>
      <c r="C302" s="39">
        <v>0</v>
      </c>
      <c r="D302" s="39">
        <v>1659.393912</v>
      </c>
      <c r="E302" s="39">
        <v>2206.6407032748862</v>
      </c>
      <c r="F302" s="39">
        <v>1208.8829760000001</v>
      </c>
      <c r="G302" s="39">
        <v>893.71798809147015</v>
      </c>
      <c r="H302" s="40">
        <v>0.32978715139150516</v>
      </c>
      <c r="I302" s="40">
        <v>-0.26070760707654295</v>
      </c>
      <c r="J302" s="40">
        <v>8.0913319190806021E-2</v>
      </c>
    </row>
    <row r="303" spans="1:10" ht="11.25" customHeight="1" x14ac:dyDescent="0.2">
      <c r="A303" s="49">
        <v>44652</v>
      </c>
      <c r="B303" s="39">
        <v>0</v>
      </c>
      <c r="C303" s="39">
        <v>0</v>
      </c>
      <c r="D303" s="39">
        <v>3013.4199920000001</v>
      </c>
      <c r="E303" s="39">
        <v>4007.2071871078924</v>
      </c>
      <c r="F303" s="39">
        <v>2195.3028159999999</v>
      </c>
      <c r="G303" s="39">
        <v>1622.9706720322438</v>
      </c>
      <c r="H303" s="40">
        <v>0.32978715139150516</v>
      </c>
      <c r="I303" s="40">
        <v>-0.26070760707654295</v>
      </c>
      <c r="J303" s="40">
        <v>8.0913319190806021E-2</v>
      </c>
    </row>
    <row r="304" spans="1:10" ht="11.25" customHeight="1" x14ac:dyDescent="0.2">
      <c r="A304" s="49">
        <v>44682</v>
      </c>
      <c r="B304" s="39">
        <v>0</v>
      </c>
      <c r="C304" s="39">
        <v>0</v>
      </c>
      <c r="D304" s="39">
        <v>9294.1075039999996</v>
      </c>
      <c r="E304" s="39">
        <v>12359.184742470572</v>
      </c>
      <c r="F304" s="39">
        <v>6770.8385920000001</v>
      </c>
      <c r="G304" s="39">
        <v>5005.6294647781706</v>
      </c>
      <c r="H304" s="40">
        <v>0.32978715139150516</v>
      </c>
      <c r="I304" s="40">
        <v>-0.26070760707654295</v>
      </c>
      <c r="J304" s="40">
        <v>8.0913319190806243E-2</v>
      </c>
    </row>
    <row r="305" spans="1:10" ht="11.25" customHeight="1" x14ac:dyDescent="0.2">
      <c r="A305" s="49">
        <v>44713</v>
      </c>
      <c r="B305" s="39">
        <v>0</v>
      </c>
      <c r="C305" s="39">
        <v>0</v>
      </c>
      <c r="D305" s="39">
        <v>10797.387128000002</v>
      </c>
      <c r="E305" s="39">
        <v>14358.226671414426</v>
      </c>
      <c r="F305" s="39">
        <v>7865.9909440000001</v>
      </c>
      <c r="G305" s="39">
        <v>5815.2672677040036</v>
      </c>
      <c r="H305" s="40">
        <v>0.32978715139150494</v>
      </c>
      <c r="I305" s="40">
        <v>-0.26070760707654284</v>
      </c>
      <c r="J305" s="40">
        <v>8.0913319190806021E-2</v>
      </c>
    </row>
    <row r="306" spans="1:10" ht="11.25" customHeight="1" x14ac:dyDescent="0.2">
      <c r="A306" s="49">
        <v>44743</v>
      </c>
      <c r="B306" s="39">
        <v>0</v>
      </c>
      <c r="C306" s="39">
        <v>0</v>
      </c>
      <c r="D306" s="39">
        <v>11831.806096</v>
      </c>
      <c r="E306" s="39">
        <v>15733.783724216486</v>
      </c>
      <c r="F306" s="39">
        <v>8619.574208</v>
      </c>
      <c r="G306" s="39">
        <v>6372.3856422136323</v>
      </c>
      <c r="H306" s="40">
        <v>0.32978715139150516</v>
      </c>
      <c r="I306" s="40">
        <v>-0.26070760707654295</v>
      </c>
      <c r="J306" s="40">
        <v>8.0913319190806243E-2</v>
      </c>
    </row>
    <row r="307" spans="1:10" ht="11.25" customHeight="1" x14ac:dyDescent="0.2">
      <c r="A307" s="49">
        <v>44774</v>
      </c>
      <c r="B307" s="39">
        <v>0</v>
      </c>
      <c r="C307" s="39">
        <v>0</v>
      </c>
      <c r="D307" s="39">
        <v>15911.877607999999</v>
      </c>
      <c r="E307" s="39">
        <v>21159.410397632597</v>
      </c>
      <c r="F307" s="39">
        <v>11591.941983999999</v>
      </c>
      <c r="G307" s="39">
        <v>8569.8345279812456</v>
      </c>
      <c r="H307" s="40">
        <v>0.32978715139150516</v>
      </c>
      <c r="I307" s="40">
        <v>-0.26070760707654295</v>
      </c>
      <c r="J307" s="40">
        <v>8.0913319190806021E-2</v>
      </c>
    </row>
    <row r="308" spans="1:10" ht="11.25" customHeight="1" x14ac:dyDescent="0.2">
      <c r="A308" s="45" t="s">
        <v>53</v>
      </c>
      <c r="B308" s="39">
        <v>0</v>
      </c>
      <c r="C308" s="39">
        <v>0</v>
      </c>
      <c r="D308" s="39">
        <v>1618.9414119999999</v>
      </c>
      <c r="E308" s="39">
        <v>2152.8474885332212</v>
      </c>
      <c r="F308" s="39">
        <v>1179.4129759999998</v>
      </c>
      <c r="G308" s="39">
        <v>871.93104127201582</v>
      </c>
      <c r="H308" s="40">
        <v>0.32978715139150516</v>
      </c>
      <c r="I308" s="40">
        <v>-0.26070760707654284</v>
      </c>
      <c r="J308" s="40">
        <v>8.0913319190806243E-2</v>
      </c>
    </row>
    <row r="309" spans="1:10" ht="11.25" customHeight="1" x14ac:dyDescent="0.2">
      <c r="A309" s="46" t="s">
        <v>51</v>
      </c>
      <c r="B309" s="39">
        <v>0</v>
      </c>
      <c r="C309" s="39">
        <v>0</v>
      </c>
      <c r="D309" s="39">
        <v>1347.8772999999999</v>
      </c>
      <c r="E309" s="39">
        <v>1792.3899151922731</v>
      </c>
      <c r="F309" s="39">
        <v>981.94039999999984</v>
      </c>
      <c r="G309" s="39">
        <v>725.94106802421652</v>
      </c>
      <c r="H309" s="40">
        <v>0.32978715139150516</v>
      </c>
      <c r="I309" s="40">
        <v>-0.26070760707654295</v>
      </c>
      <c r="J309" s="40">
        <v>8.0913319190806243E-2</v>
      </c>
    </row>
    <row r="310" spans="1:10" ht="11.25" customHeight="1" x14ac:dyDescent="0.2">
      <c r="A310" s="47" t="s">
        <v>25</v>
      </c>
      <c r="B310" s="39">
        <v>0</v>
      </c>
      <c r="C310" s="39">
        <v>0</v>
      </c>
      <c r="D310" s="39">
        <v>1347.8772999999999</v>
      </c>
      <c r="E310" s="39">
        <v>1792.3899151922731</v>
      </c>
      <c r="F310" s="39">
        <v>981.94039999999984</v>
      </c>
      <c r="G310" s="39">
        <v>725.94106802421652</v>
      </c>
      <c r="H310" s="40">
        <v>0.32978715139150516</v>
      </c>
      <c r="I310" s="40">
        <v>-0.26070760707654295</v>
      </c>
      <c r="J310" s="40">
        <v>8.0913319190806243E-2</v>
      </c>
    </row>
    <row r="311" spans="1:10" ht="11.25" customHeight="1" x14ac:dyDescent="0.2">
      <c r="A311" s="48" t="s">
        <v>25</v>
      </c>
      <c r="B311" s="39">
        <v>0</v>
      </c>
      <c r="C311" s="39">
        <v>0</v>
      </c>
      <c r="D311" s="39">
        <v>1347.8772999999999</v>
      </c>
      <c r="E311" s="39">
        <v>1792.3899151922731</v>
      </c>
      <c r="F311" s="39">
        <v>981.94039999999984</v>
      </c>
      <c r="G311" s="39">
        <v>725.94106802421652</v>
      </c>
      <c r="H311" s="40">
        <v>0.32978715139150516</v>
      </c>
      <c r="I311" s="40">
        <v>-0.26070760707654295</v>
      </c>
      <c r="J311" s="40">
        <v>8.0913319190806243E-2</v>
      </c>
    </row>
    <row r="312" spans="1:10" ht="11.25" customHeight="1" x14ac:dyDescent="0.2">
      <c r="A312" s="49">
        <v>44713</v>
      </c>
      <c r="B312" s="39">
        <v>0</v>
      </c>
      <c r="C312" s="39">
        <v>0</v>
      </c>
      <c r="D312" s="39">
        <v>539.15091999999993</v>
      </c>
      <c r="E312" s="39">
        <v>716.95596607690925</v>
      </c>
      <c r="F312" s="39">
        <v>392.77615999999995</v>
      </c>
      <c r="G312" s="39">
        <v>290.3764272096866</v>
      </c>
      <c r="H312" s="40">
        <v>0.32978715139150516</v>
      </c>
      <c r="I312" s="40">
        <v>-0.26070760707654295</v>
      </c>
      <c r="J312" s="40">
        <v>8.0913319190806021E-2</v>
      </c>
    </row>
    <row r="313" spans="1:10" ht="11.25" customHeight="1" x14ac:dyDescent="0.2">
      <c r="A313" s="49">
        <v>44743</v>
      </c>
      <c r="B313" s="39">
        <v>0</v>
      </c>
      <c r="C313" s="39">
        <v>0</v>
      </c>
      <c r="D313" s="39">
        <v>526.85335999999995</v>
      </c>
      <c r="E313" s="39">
        <v>700.60282879544309</v>
      </c>
      <c r="F313" s="39">
        <v>383.81727999999998</v>
      </c>
      <c r="G313" s="39">
        <v>283.75319537657253</v>
      </c>
      <c r="H313" s="40">
        <v>0.32978715139150516</v>
      </c>
      <c r="I313" s="40">
        <v>-0.26070760707654295</v>
      </c>
      <c r="J313" s="40">
        <v>8.0913319190806021E-2</v>
      </c>
    </row>
    <row r="314" spans="1:10" ht="11.25" customHeight="1" x14ac:dyDescent="0.2">
      <c r="A314" s="49">
        <v>44774</v>
      </c>
      <c r="B314" s="39">
        <v>0</v>
      </c>
      <c r="C314" s="39">
        <v>0</v>
      </c>
      <c r="D314" s="39">
        <v>281.87302</v>
      </c>
      <c r="E314" s="39">
        <v>374.83112031992073</v>
      </c>
      <c r="F314" s="39">
        <v>205.34696</v>
      </c>
      <c r="G314" s="39">
        <v>151.81144543795742</v>
      </c>
      <c r="H314" s="40">
        <v>0.32978715139150516</v>
      </c>
      <c r="I314" s="40">
        <v>-0.26070760707654295</v>
      </c>
      <c r="J314" s="40">
        <v>8.0913319190806243E-2</v>
      </c>
    </row>
    <row r="315" spans="1:10" ht="11.25" customHeight="1" x14ac:dyDescent="0.2">
      <c r="A315" s="46" t="s">
        <v>52</v>
      </c>
      <c r="B315" s="39">
        <v>0</v>
      </c>
      <c r="C315" s="39">
        <v>0</v>
      </c>
      <c r="D315" s="39">
        <v>271.06411199999997</v>
      </c>
      <c r="E315" s="39">
        <v>360.45757334094787</v>
      </c>
      <c r="F315" s="39">
        <v>197.47257599999998</v>
      </c>
      <c r="G315" s="39">
        <v>145.98997324779924</v>
      </c>
      <c r="H315" s="40">
        <v>0.32978715139150516</v>
      </c>
      <c r="I315" s="40">
        <v>-0.26070760707654284</v>
      </c>
      <c r="J315" s="40">
        <v>8.0913319190806243E-2</v>
      </c>
    </row>
    <row r="316" spans="1:10" ht="11.25" customHeight="1" x14ac:dyDescent="0.2">
      <c r="A316" s="47" t="s">
        <v>25</v>
      </c>
      <c r="B316" s="39">
        <v>0</v>
      </c>
      <c r="C316" s="39">
        <v>0</v>
      </c>
      <c r="D316" s="39">
        <v>271.06411199999997</v>
      </c>
      <c r="E316" s="39">
        <v>360.45757334094787</v>
      </c>
      <c r="F316" s="39">
        <v>197.47257599999998</v>
      </c>
      <c r="G316" s="39">
        <v>145.98997324779924</v>
      </c>
      <c r="H316" s="40">
        <v>0.32978715139150516</v>
      </c>
      <c r="I316" s="40">
        <v>-0.26070760707654284</v>
      </c>
      <c r="J316" s="40">
        <v>8.0913319190806243E-2</v>
      </c>
    </row>
    <row r="317" spans="1:10" ht="11.25" customHeight="1" x14ac:dyDescent="0.2">
      <c r="A317" s="48" t="s">
        <v>25</v>
      </c>
      <c r="B317" s="39">
        <v>0</v>
      </c>
      <c r="C317" s="39">
        <v>0</v>
      </c>
      <c r="D317" s="39">
        <v>271.06411199999997</v>
      </c>
      <c r="E317" s="39">
        <v>360.45757334094787</v>
      </c>
      <c r="F317" s="39">
        <v>197.47257599999998</v>
      </c>
      <c r="G317" s="39">
        <v>145.98997324779924</v>
      </c>
      <c r="H317" s="40">
        <v>0.32978715139150516</v>
      </c>
      <c r="I317" s="40">
        <v>-0.26070760707654284</v>
      </c>
      <c r="J317" s="40">
        <v>8.0913319190806243E-2</v>
      </c>
    </row>
    <row r="318" spans="1:10" ht="11.25" customHeight="1" x14ac:dyDescent="0.2">
      <c r="A318" s="49">
        <v>44743</v>
      </c>
      <c r="B318" s="39">
        <v>0</v>
      </c>
      <c r="C318" s="39">
        <v>0</v>
      </c>
      <c r="D318" s="39">
        <v>176.30817599999997</v>
      </c>
      <c r="E318" s="39">
        <v>234.45234713007213</v>
      </c>
      <c r="F318" s="39">
        <v>128.44204799999997</v>
      </c>
      <c r="G318" s="39">
        <v>94.956229017909521</v>
      </c>
      <c r="H318" s="40">
        <v>0.32978715139150538</v>
      </c>
      <c r="I318" s="40">
        <v>-0.26070760707654284</v>
      </c>
      <c r="J318" s="40">
        <v>8.0913319190806243E-2</v>
      </c>
    </row>
    <row r="319" spans="1:10" ht="11.25" customHeight="1" x14ac:dyDescent="0.2">
      <c r="A319" s="49">
        <v>44774</v>
      </c>
      <c r="B319" s="39">
        <v>0</v>
      </c>
      <c r="C319" s="39">
        <v>0</v>
      </c>
      <c r="D319" s="39">
        <v>94.755936000000005</v>
      </c>
      <c r="E319" s="39">
        <v>126.00522621087578</v>
      </c>
      <c r="F319" s="39">
        <v>69.030528000000004</v>
      </c>
      <c r="G319" s="39">
        <v>51.033744229889706</v>
      </c>
      <c r="H319" s="40">
        <v>0.32978715139150516</v>
      </c>
      <c r="I319" s="40">
        <v>-0.26070760707654295</v>
      </c>
      <c r="J319" s="40">
        <v>8.0913319190806021E-2</v>
      </c>
    </row>
    <row r="320" spans="1:10" ht="11.25" customHeight="1" x14ac:dyDescent="0.2">
      <c r="A320" s="45" t="s">
        <v>25</v>
      </c>
      <c r="B320" s="39">
        <v>0</v>
      </c>
      <c r="C320" s="39">
        <v>0</v>
      </c>
      <c r="D320" s="39">
        <v>1145641.9840799998</v>
      </c>
      <c r="E320" s="39">
        <v>1523459.9905242552</v>
      </c>
      <c r="F320" s="39">
        <v>834610.20383999997</v>
      </c>
      <c r="G320" s="39">
        <v>617020.97475520778</v>
      </c>
      <c r="H320" s="40">
        <v>0.32978715139150538</v>
      </c>
      <c r="I320" s="40">
        <v>-0.26070760707654272</v>
      </c>
      <c r="J320" s="40">
        <v>8.0913319190806465E-2</v>
      </c>
    </row>
    <row r="321" spans="1:10" ht="11.25" customHeight="1" x14ac:dyDescent="0.2">
      <c r="A321" s="46" t="s">
        <v>25</v>
      </c>
      <c r="B321" s="39">
        <v>0</v>
      </c>
      <c r="C321" s="39">
        <v>0</v>
      </c>
      <c r="D321" s="39">
        <v>1145641.9840799998</v>
      </c>
      <c r="E321" s="39">
        <v>1523459.9905242552</v>
      </c>
      <c r="F321" s="39">
        <v>834610.20383999997</v>
      </c>
      <c r="G321" s="39">
        <v>617020.97475520778</v>
      </c>
      <c r="H321" s="40">
        <v>0.32978715139150538</v>
      </c>
      <c r="I321" s="40">
        <v>-0.26070760707654272</v>
      </c>
      <c r="J321" s="40">
        <v>8.0913319190806465E-2</v>
      </c>
    </row>
    <row r="322" spans="1:10" ht="11.25" customHeight="1" x14ac:dyDescent="0.2">
      <c r="A322" s="47" t="s">
        <v>25</v>
      </c>
      <c r="B322" s="39">
        <v>0</v>
      </c>
      <c r="C322" s="39">
        <v>0</v>
      </c>
      <c r="D322" s="39">
        <v>1145641.9840799998</v>
      </c>
      <c r="E322" s="39">
        <v>1523459.9905242552</v>
      </c>
      <c r="F322" s="39">
        <v>834610.20383999997</v>
      </c>
      <c r="G322" s="39">
        <v>617020.97475520778</v>
      </c>
      <c r="H322" s="40">
        <v>0.32978715139150538</v>
      </c>
      <c r="I322" s="40">
        <v>-0.26070760707654272</v>
      </c>
      <c r="J322" s="40">
        <v>8.0913319190806465E-2</v>
      </c>
    </row>
    <row r="323" spans="1:10" ht="11.25" customHeight="1" x14ac:dyDescent="0.2">
      <c r="A323" s="48" t="s">
        <v>25</v>
      </c>
      <c r="B323" s="39">
        <v>0</v>
      </c>
      <c r="C323" s="39">
        <v>0</v>
      </c>
      <c r="D323" s="39">
        <v>1145641.9840799998</v>
      </c>
      <c r="E323" s="39">
        <v>1523459.9905242552</v>
      </c>
      <c r="F323" s="39">
        <v>834610.20383999997</v>
      </c>
      <c r="G323" s="39">
        <v>617020.97475520778</v>
      </c>
      <c r="H323" s="40">
        <v>0.32978715139150538</v>
      </c>
      <c r="I323" s="40">
        <v>-0.26070760707654272</v>
      </c>
      <c r="J323" s="40">
        <v>8.0913319190806465E-2</v>
      </c>
    </row>
    <row r="324" spans="1:10" ht="11.25" customHeight="1" x14ac:dyDescent="0.2">
      <c r="A324" s="49">
        <v>44440</v>
      </c>
      <c r="B324" s="39">
        <v>0</v>
      </c>
      <c r="C324" s="39">
        <v>0</v>
      </c>
      <c r="D324" s="39">
        <v>129578.74248</v>
      </c>
      <c r="E324" s="39">
        <v>172312.14684337264</v>
      </c>
      <c r="F324" s="39">
        <v>94399.247039999987</v>
      </c>
      <c r="G324" s="39">
        <v>69788.645234374169</v>
      </c>
      <c r="H324" s="40">
        <v>0.32978715139150538</v>
      </c>
      <c r="I324" s="40">
        <v>-0.26070760707654284</v>
      </c>
      <c r="J324" s="40">
        <v>8.0913319190806243E-2</v>
      </c>
    </row>
    <row r="325" spans="1:10" ht="11.25" customHeight="1" x14ac:dyDescent="0.2">
      <c r="A325" s="49">
        <v>44470</v>
      </c>
      <c r="B325" s="39">
        <v>0</v>
      </c>
      <c r="C325" s="39">
        <v>0</v>
      </c>
      <c r="D325" s="39">
        <v>130897.17035999999</v>
      </c>
      <c r="E325" s="39">
        <v>174065.37529823295</v>
      </c>
      <c r="F325" s="39">
        <v>95359.733279999986</v>
      </c>
      <c r="G325" s="39">
        <v>70498.725405113815</v>
      </c>
      <c r="H325" s="40">
        <v>0.32978715139150516</v>
      </c>
      <c r="I325" s="40">
        <v>-0.26070760707654295</v>
      </c>
      <c r="J325" s="40">
        <v>8.0913319190806243E-2</v>
      </c>
    </row>
    <row r="326" spans="1:10" ht="11.25" customHeight="1" x14ac:dyDescent="0.2">
      <c r="A326" s="49">
        <v>44501</v>
      </c>
      <c r="B326" s="39">
        <v>0</v>
      </c>
      <c r="C326" s="39">
        <v>0</v>
      </c>
      <c r="D326" s="39">
        <v>97688.256819999995</v>
      </c>
      <c r="E326" s="39">
        <v>129904.58876106958</v>
      </c>
      <c r="F326" s="39">
        <v>71166.749359999987</v>
      </c>
      <c r="G326" s="39">
        <v>52613.036430938308</v>
      </c>
      <c r="H326" s="40">
        <v>0.32978715139150516</v>
      </c>
      <c r="I326" s="40">
        <v>-0.26070760707654284</v>
      </c>
      <c r="J326" s="40">
        <v>8.0913319190806465E-2</v>
      </c>
    </row>
    <row r="327" spans="1:10" ht="11.25" customHeight="1" x14ac:dyDescent="0.2">
      <c r="A327" s="49">
        <v>44531</v>
      </c>
      <c r="B327" s="39">
        <v>0</v>
      </c>
      <c r="C327" s="39">
        <v>0</v>
      </c>
      <c r="D327" s="39">
        <v>94333.611900000004</v>
      </c>
      <c r="E327" s="39">
        <v>125443.62504897278</v>
      </c>
      <c r="F327" s="39">
        <v>68722.861199999985</v>
      </c>
      <c r="G327" s="39">
        <v>50806.288505094599</v>
      </c>
      <c r="H327" s="40">
        <v>0.32978715139150494</v>
      </c>
      <c r="I327" s="40">
        <v>-0.26070760707654284</v>
      </c>
      <c r="J327" s="40">
        <v>8.0913319190806021E-2</v>
      </c>
    </row>
    <row r="328" spans="1:10" ht="11.25" customHeight="1" x14ac:dyDescent="0.2">
      <c r="A328" s="49">
        <v>44562</v>
      </c>
      <c r="B328" s="39">
        <v>0</v>
      </c>
      <c r="C328" s="39">
        <v>0</v>
      </c>
      <c r="D328" s="39">
        <v>90239.818900000013</v>
      </c>
      <c r="E328" s="39">
        <v>119999.75171711632</v>
      </c>
      <c r="F328" s="39">
        <v>65740.497199999998</v>
      </c>
      <c r="G328" s="39">
        <v>48601.449486965823</v>
      </c>
      <c r="H328" s="40">
        <v>0.32978715139150516</v>
      </c>
      <c r="I328" s="40">
        <v>-0.26070760707654306</v>
      </c>
      <c r="J328" s="40">
        <v>8.0913319190806243E-2</v>
      </c>
    </row>
    <row r="329" spans="1:10" ht="11.25" customHeight="1" x14ac:dyDescent="0.2">
      <c r="A329" s="49">
        <v>44593</v>
      </c>
      <c r="B329" s="39">
        <v>0</v>
      </c>
      <c r="C329" s="39">
        <v>0</v>
      </c>
      <c r="D329" s="39">
        <v>93231.685800000007</v>
      </c>
      <c r="E329" s="39">
        <v>123978.29787940986</v>
      </c>
      <c r="F329" s="39">
        <v>67920.098400000003</v>
      </c>
      <c r="G329" s="39">
        <v>50212.812073732668</v>
      </c>
      <c r="H329" s="40">
        <v>0.32978715139150516</v>
      </c>
      <c r="I329" s="40">
        <v>-0.26070760707654295</v>
      </c>
      <c r="J329" s="40">
        <v>8.0913319190806243E-2</v>
      </c>
    </row>
    <row r="330" spans="1:10" ht="11.25" customHeight="1" x14ac:dyDescent="0.2">
      <c r="A330" s="49">
        <v>44621</v>
      </c>
      <c r="B330" s="39">
        <v>0</v>
      </c>
      <c r="C330" s="39">
        <v>0</v>
      </c>
      <c r="D330" s="39">
        <v>91174.10983999999</v>
      </c>
      <c r="E330" s="39">
        <v>121242.1598047898</v>
      </c>
      <c r="F330" s="39">
        <v>66421.136319999991</v>
      </c>
      <c r="G330" s="39">
        <v>49104.640810707941</v>
      </c>
      <c r="H330" s="40">
        <v>0.32978715139150538</v>
      </c>
      <c r="I330" s="40">
        <v>-0.26070760707654295</v>
      </c>
      <c r="J330" s="40">
        <v>8.0913319190806243E-2</v>
      </c>
    </row>
    <row r="331" spans="1:10" ht="11.25" customHeight="1" x14ac:dyDescent="0.2">
      <c r="A331" s="49">
        <v>44652</v>
      </c>
      <c r="B331" s="39">
        <v>0</v>
      </c>
      <c r="C331" s="39">
        <v>0</v>
      </c>
      <c r="D331" s="39">
        <v>86547.961939999994</v>
      </c>
      <c r="E331" s="39">
        <v>115090.36776693301</v>
      </c>
      <c r="F331" s="39">
        <v>63050.947119999997</v>
      </c>
      <c r="G331" s="39">
        <v>46613.085572435157</v>
      </c>
      <c r="H331" s="40">
        <v>0.32978715139150516</v>
      </c>
      <c r="I331" s="40">
        <v>-0.26070760707654284</v>
      </c>
      <c r="J331" s="40">
        <v>8.0913319190806243E-2</v>
      </c>
    </row>
    <row r="332" spans="1:10" ht="11.25" customHeight="1" x14ac:dyDescent="0.2">
      <c r="A332" s="49">
        <v>44682</v>
      </c>
      <c r="B332" s="39">
        <v>0</v>
      </c>
      <c r="C332" s="39">
        <v>0</v>
      </c>
      <c r="D332" s="39">
        <v>96670.795540000006</v>
      </c>
      <c r="E332" s="39">
        <v>128551.58182388723</v>
      </c>
      <c r="F332" s="39">
        <v>70425.519919999992</v>
      </c>
      <c r="G332" s="39">
        <v>52065.051144535399</v>
      </c>
      <c r="H332" s="40">
        <v>0.32978715139150516</v>
      </c>
      <c r="I332" s="40">
        <v>-0.26070760707654272</v>
      </c>
      <c r="J332" s="40">
        <v>8.0913319190806243E-2</v>
      </c>
    </row>
    <row r="333" spans="1:10" ht="11.25" customHeight="1" x14ac:dyDescent="0.2">
      <c r="A333" s="49">
        <v>44713</v>
      </c>
      <c r="B333" s="39">
        <v>0</v>
      </c>
      <c r="C333" s="39">
        <v>0</v>
      </c>
      <c r="D333" s="39">
        <v>84847.015220000001</v>
      </c>
      <c r="E333" s="39">
        <v>112828.47067347549</v>
      </c>
      <c r="F333" s="39">
        <v>61811.792560000002</v>
      </c>
      <c r="G333" s="39">
        <v>45696.988032570742</v>
      </c>
      <c r="H333" s="40">
        <v>0.32978715139150516</v>
      </c>
      <c r="I333" s="40">
        <v>-0.26070760707654295</v>
      </c>
      <c r="J333" s="40">
        <v>8.0913319190806021E-2</v>
      </c>
    </row>
    <row r="334" spans="1:10" ht="11.25" customHeight="1" x14ac:dyDescent="0.2">
      <c r="A334" s="49">
        <v>44743</v>
      </c>
      <c r="B334" s="39">
        <v>0</v>
      </c>
      <c r="C334" s="39">
        <v>0</v>
      </c>
      <c r="D334" s="39">
        <v>74396.030939999997</v>
      </c>
      <c r="E334" s="39">
        <v>98930.886058536882</v>
      </c>
      <c r="F334" s="39">
        <v>54198.159119999997</v>
      </c>
      <c r="G334" s="39">
        <v>40068.28674787109</v>
      </c>
      <c r="H334" s="40">
        <v>0.32978715139150516</v>
      </c>
      <c r="I334" s="40">
        <v>-0.26070760707654284</v>
      </c>
      <c r="J334" s="40">
        <v>8.0913319190806243E-2</v>
      </c>
    </row>
    <row r="335" spans="1:10" ht="11.25" customHeight="1" x14ac:dyDescent="0.2">
      <c r="A335" s="49">
        <v>44774</v>
      </c>
      <c r="B335" s="39">
        <v>0</v>
      </c>
      <c r="C335" s="39">
        <v>0</v>
      </c>
      <c r="D335" s="39">
        <v>76036.784339999998</v>
      </c>
      <c r="E335" s="39">
        <v>101112.7388484588</v>
      </c>
      <c r="F335" s="39">
        <v>55393.462319999999</v>
      </c>
      <c r="G335" s="39">
        <v>40951.96531086816</v>
      </c>
      <c r="H335" s="40">
        <v>0.32978715139150516</v>
      </c>
      <c r="I335" s="40">
        <v>-0.26070760707654284</v>
      </c>
      <c r="J335" s="40">
        <v>8.0913319190806243E-2</v>
      </c>
    </row>
    <row r="336" spans="1:10" ht="11.25" customHeight="1" x14ac:dyDescent="0.2">
      <c r="A336" s="42" t="s">
        <v>33</v>
      </c>
      <c r="B336" s="39">
        <v>0</v>
      </c>
      <c r="C336" s="39">
        <v>0</v>
      </c>
      <c r="D336" s="39">
        <v>805583.79444000067</v>
      </c>
      <c r="E336" s="39">
        <v>1002877.001818792</v>
      </c>
      <c r="F336" s="39">
        <v>586876.83036960021</v>
      </c>
      <c r="G336" s="39">
        <v>406178.1399384634</v>
      </c>
      <c r="H336" s="40">
        <v>0.24490712045161933</v>
      </c>
      <c r="I336" s="40">
        <v>-0.30789883171454857</v>
      </c>
      <c r="J336" s="40">
        <v>1.1917404809864252E-2</v>
      </c>
    </row>
    <row r="337" spans="1:10" ht="11.25" customHeight="1" x14ac:dyDescent="0.2">
      <c r="A337" s="43" t="s">
        <v>23</v>
      </c>
      <c r="B337" s="39">
        <v>0</v>
      </c>
      <c r="C337" s="39">
        <v>0</v>
      </c>
      <c r="D337" s="39">
        <v>805583.79444000067</v>
      </c>
      <c r="E337" s="39">
        <v>1002877.001818792</v>
      </c>
      <c r="F337" s="39">
        <v>586876.83036960021</v>
      </c>
      <c r="G337" s="39">
        <v>406178.1399384634</v>
      </c>
      <c r="H337" s="40">
        <v>0.24490712045161933</v>
      </c>
      <c r="I337" s="40">
        <v>-0.30789883171454857</v>
      </c>
      <c r="J337" s="40">
        <v>1.1917404809864252E-2</v>
      </c>
    </row>
    <row r="338" spans="1:10" ht="11.25" customHeight="1" x14ac:dyDescent="0.2">
      <c r="A338" s="44" t="s">
        <v>39</v>
      </c>
      <c r="B338" s="39">
        <v>0</v>
      </c>
      <c r="C338" s="39">
        <v>0</v>
      </c>
      <c r="D338" s="39">
        <v>592010.93724999996</v>
      </c>
      <c r="E338" s="39">
        <v>736998.63116776326</v>
      </c>
      <c r="F338" s="39">
        <v>431286.60829000006</v>
      </c>
      <c r="G338" s="39">
        <v>298493.96546337934</v>
      </c>
      <c r="H338" s="40">
        <v>0.24490712045162177</v>
      </c>
      <c r="I338" s="40">
        <v>-0.30789883171454768</v>
      </c>
      <c r="J338" s="40">
        <v>1.1917404809866028E-2</v>
      </c>
    </row>
    <row r="339" spans="1:10" ht="11.25" customHeight="1" x14ac:dyDescent="0.2">
      <c r="A339" s="45" t="s">
        <v>25</v>
      </c>
      <c r="B339" s="39">
        <v>0</v>
      </c>
      <c r="C339" s="39">
        <v>0</v>
      </c>
      <c r="D339" s="39">
        <v>592010.93724999996</v>
      </c>
      <c r="E339" s="39">
        <v>736998.63116776326</v>
      </c>
      <c r="F339" s="39">
        <v>431286.60829000006</v>
      </c>
      <c r="G339" s="39">
        <v>298493.96546337934</v>
      </c>
      <c r="H339" s="40">
        <v>0.24490712045162177</v>
      </c>
      <c r="I339" s="40">
        <v>-0.30789883171454768</v>
      </c>
      <c r="J339" s="40">
        <v>1.1917404809866028E-2</v>
      </c>
    </row>
    <row r="340" spans="1:10" ht="11.25" customHeight="1" x14ac:dyDescent="0.2">
      <c r="A340" s="46" t="s">
        <v>25</v>
      </c>
      <c r="B340" s="39">
        <v>0</v>
      </c>
      <c r="C340" s="39">
        <v>0</v>
      </c>
      <c r="D340" s="39">
        <v>592010.93724999996</v>
      </c>
      <c r="E340" s="39">
        <v>736998.63116776326</v>
      </c>
      <c r="F340" s="39">
        <v>431286.60829000006</v>
      </c>
      <c r="G340" s="39">
        <v>298493.96546337934</v>
      </c>
      <c r="H340" s="40">
        <v>0.24490712045162177</v>
      </c>
      <c r="I340" s="40">
        <v>-0.30789883171454768</v>
      </c>
      <c r="J340" s="40">
        <v>1.1917404809866028E-2</v>
      </c>
    </row>
    <row r="341" spans="1:10" ht="11.25" customHeight="1" x14ac:dyDescent="0.2">
      <c r="A341" s="47" t="s">
        <v>25</v>
      </c>
      <c r="B341" s="39">
        <v>0</v>
      </c>
      <c r="C341" s="39">
        <v>0</v>
      </c>
      <c r="D341" s="39">
        <v>592010.93724999996</v>
      </c>
      <c r="E341" s="39">
        <v>736998.63116776326</v>
      </c>
      <c r="F341" s="39">
        <v>431286.60829000006</v>
      </c>
      <c r="G341" s="39">
        <v>298493.96546337934</v>
      </c>
      <c r="H341" s="40">
        <v>0.24490712045162177</v>
      </c>
      <c r="I341" s="40">
        <v>-0.30789883171454768</v>
      </c>
      <c r="J341" s="40">
        <v>1.1917404809866028E-2</v>
      </c>
    </row>
    <row r="342" spans="1:10" ht="11.25" customHeight="1" x14ac:dyDescent="0.2">
      <c r="A342" s="48" t="s">
        <v>25</v>
      </c>
      <c r="B342" s="39">
        <v>0</v>
      </c>
      <c r="C342" s="39">
        <v>0</v>
      </c>
      <c r="D342" s="39">
        <v>592010.93724999996</v>
      </c>
      <c r="E342" s="39">
        <v>736998.63116776326</v>
      </c>
      <c r="F342" s="39">
        <v>431286.60829000006</v>
      </c>
      <c r="G342" s="39">
        <v>298493.96546337934</v>
      </c>
      <c r="H342" s="40">
        <v>0.24490712045162177</v>
      </c>
      <c r="I342" s="40">
        <v>-0.30789883171454768</v>
      </c>
      <c r="J342" s="40">
        <v>1.1917404809866028E-2</v>
      </c>
    </row>
    <row r="343" spans="1:10" ht="11.25" customHeight="1" x14ac:dyDescent="0.2">
      <c r="A343" s="49">
        <v>44440</v>
      </c>
      <c r="B343" s="39">
        <v>0</v>
      </c>
      <c r="C343" s="39">
        <v>0</v>
      </c>
      <c r="D343" s="39">
        <v>47503.738499999992</v>
      </c>
      <c r="E343" s="39">
        <v>59137.742306721855</v>
      </c>
      <c r="F343" s="39">
        <v>34607.00634</v>
      </c>
      <c r="G343" s="39">
        <v>23951.549518776057</v>
      </c>
      <c r="H343" s="40">
        <v>0.24490712045162222</v>
      </c>
      <c r="I343" s="40">
        <v>-0.30789883171454768</v>
      </c>
      <c r="J343" s="40">
        <v>1.191740480986625E-2</v>
      </c>
    </row>
    <row r="344" spans="1:10" ht="11.25" customHeight="1" x14ac:dyDescent="0.2">
      <c r="A344" s="49">
        <v>44470</v>
      </c>
      <c r="B344" s="39">
        <v>0</v>
      </c>
      <c r="C344" s="39">
        <v>0</v>
      </c>
      <c r="D344" s="39">
        <v>49962.514999999999</v>
      </c>
      <c r="E344" s="39">
        <v>62198.690679170963</v>
      </c>
      <c r="F344" s="39">
        <v>36398.252600000007</v>
      </c>
      <c r="G344" s="39">
        <v>25191.273148009004</v>
      </c>
      <c r="H344" s="40">
        <v>0.24490712045162177</v>
      </c>
      <c r="I344" s="40">
        <v>-0.30789883171454779</v>
      </c>
      <c r="J344" s="40">
        <v>1.1917404809866028E-2</v>
      </c>
    </row>
    <row r="345" spans="1:10" ht="11.25" customHeight="1" x14ac:dyDescent="0.2">
      <c r="A345" s="49">
        <v>44501</v>
      </c>
      <c r="B345" s="39">
        <v>0</v>
      </c>
      <c r="C345" s="39">
        <v>0</v>
      </c>
      <c r="D345" s="39">
        <v>58594.710749999998</v>
      </c>
      <c r="E345" s="39">
        <v>72944.972633478203</v>
      </c>
      <c r="F345" s="39">
        <v>42686.904030000005</v>
      </c>
      <c r="G345" s="39">
        <v>29543.65614965199</v>
      </c>
      <c r="H345" s="40">
        <v>0.244907120451622</v>
      </c>
      <c r="I345" s="40">
        <v>-0.30789883171454757</v>
      </c>
      <c r="J345" s="40">
        <v>1.191740480986625E-2</v>
      </c>
    </row>
    <row r="346" spans="1:10" ht="11.25" customHeight="1" x14ac:dyDescent="0.2">
      <c r="A346" s="49">
        <v>44531</v>
      </c>
      <c r="B346" s="39">
        <v>0</v>
      </c>
      <c r="C346" s="39">
        <v>0</v>
      </c>
      <c r="D346" s="39">
        <v>54599.107000000004</v>
      </c>
      <c r="E346" s="39">
        <v>67970.817074599996</v>
      </c>
      <c r="F346" s="39">
        <v>39776.061880000001</v>
      </c>
      <c r="G346" s="39">
        <v>27529.05889694245</v>
      </c>
      <c r="H346" s="40">
        <v>0.24490712045162177</v>
      </c>
      <c r="I346" s="40">
        <v>-0.30789883171454757</v>
      </c>
      <c r="J346" s="40">
        <v>1.1917404809866028E-2</v>
      </c>
    </row>
    <row r="347" spans="1:10" ht="11.25" customHeight="1" x14ac:dyDescent="0.2">
      <c r="A347" s="49">
        <v>44562</v>
      </c>
      <c r="B347" s="39">
        <v>0</v>
      </c>
      <c r="C347" s="39">
        <v>0</v>
      </c>
      <c r="D347" s="39">
        <v>47245.945749999999</v>
      </c>
      <c r="E347" s="39">
        <v>58816.814276646051</v>
      </c>
      <c r="F347" s="39">
        <v>34419.201430000001</v>
      </c>
      <c r="G347" s="39">
        <v>23821.569521155314</v>
      </c>
      <c r="H347" s="40">
        <v>0.244907120451622</v>
      </c>
      <c r="I347" s="40">
        <v>-0.30789883171454757</v>
      </c>
      <c r="J347" s="40">
        <v>1.191740480986625E-2</v>
      </c>
    </row>
    <row r="348" spans="1:10" ht="11.25" customHeight="1" x14ac:dyDescent="0.2">
      <c r="A348" s="49">
        <v>44593</v>
      </c>
      <c r="B348" s="39">
        <v>0</v>
      </c>
      <c r="C348" s="39">
        <v>0</v>
      </c>
      <c r="D348" s="39">
        <v>50178.752</v>
      </c>
      <c r="E348" s="39">
        <v>62467.885660176064</v>
      </c>
      <c r="F348" s="39">
        <v>36555.783680000008</v>
      </c>
      <c r="G348" s="39">
        <v>25300.300592518273</v>
      </c>
      <c r="H348" s="40">
        <v>0.244907120451622</v>
      </c>
      <c r="I348" s="40">
        <v>-0.30789883171454779</v>
      </c>
      <c r="J348" s="40">
        <v>1.191740480986625E-2</v>
      </c>
    </row>
    <row r="349" spans="1:10" ht="11.25" customHeight="1" x14ac:dyDescent="0.2">
      <c r="A349" s="49">
        <v>44621</v>
      </c>
      <c r="B349" s="39">
        <v>0</v>
      </c>
      <c r="C349" s="39">
        <v>0</v>
      </c>
      <c r="D349" s="39">
        <v>48478.643749999996</v>
      </c>
      <c r="E349" s="39">
        <v>60351.408794212519</v>
      </c>
      <c r="F349" s="39">
        <v>35317.235750000007</v>
      </c>
      <c r="G349" s="39">
        <v>24443.100123187745</v>
      </c>
      <c r="H349" s="40">
        <v>0.244907120451622</v>
      </c>
      <c r="I349" s="40">
        <v>-0.30789883171454779</v>
      </c>
      <c r="J349" s="40">
        <v>1.1917404809866028E-2</v>
      </c>
    </row>
    <row r="350" spans="1:10" ht="11.25" customHeight="1" x14ac:dyDescent="0.2">
      <c r="A350" s="49">
        <v>44652</v>
      </c>
      <c r="B350" s="39">
        <v>0</v>
      </c>
      <c r="C350" s="39">
        <v>0</v>
      </c>
      <c r="D350" s="39">
        <v>48903.762750000002</v>
      </c>
      <c r="E350" s="39">
        <v>60880.642464351804</v>
      </c>
      <c r="F350" s="39">
        <v>35626.939710000006</v>
      </c>
      <c r="G350" s="39">
        <v>24657.446595726378</v>
      </c>
      <c r="H350" s="40">
        <v>0.24490712045162222</v>
      </c>
      <c r="I350" s="40">
        <v>-0.30789883171454768</v>
      </c>
      <c r="J350" s="40">
        <v>1.191740480986625E-2</v>
      </c>
    </row>
    <row r="351" spans="1:10" ht="11.25" customHeight="1" x14ac:dyDescent="0.2">
      <c r="A351" s="49">
        <v>44682</v>
      </c>
      <c r="B351" s="39">
        <v>0</v>
      </c>
      <c r="C351" s="39">
        <v>0</v>
      </c>
      <c r="D351" s="39">
        <v>45580.038249999998</v>
      </c>
      <c r="E351" s="39">
        <v>56742.914167882285</v>
      </c>
      <c r="F351" s="39">
        <v>33205.569130000003</v>
      </c>
      <c r="G351" s="39">
        <v>22981.613188456355</v>
      </c>
      <c r="H351" s="40">
        <v>0.244907120451622</v>
      </c>
      <c r="I351" s="40">
        <v>-0.30789883171454768</v>
      </c>
      <c r="J351" s="40">
        <v>1.191740480986625E-2</v>
      </c>
    </row>
    <row r="352" spans="1:10" ht="11.25" customHeight="1" x14ac:dyDescent="0.2">
      <c r="A352" s="49">
        <v>44713</v>
      </c>
      <c r="B352" s="39">
        <v>0</v>
      </c>
      <c r="C352" s="39">
        <v>0</v>
      </c>
      <c r="D352" s="39">
        <v>41057.816500000008</v>
      </c>
      <c r="E352" s="39">
        <v>51113.168111046092</v>
      </c>
      <c r="F352" s="39">
        <v>29911.079860000005</v>
      </c>
      <c r="G352" s="39">
        <v>20701.493315785468</v>
      </c>
      <c r="H352" s="40">
        <v>0.24490712045162177</v>
      </c>
      <c r="I352" s="40">
        <v>-0.30789883171454768</v>
      </c>
      <c r="J352" s="40">
        <v>1.1917404809866028E-2</v>
      </c>
    </row>
    <row r="353" spans="1:10" ht="11.25" customHeight="1" x14ac:dyDescent="0.2">
      <c r="A353" s="49">
        <v>44743</v>
      </c>
      <c r="B353" s="39">
        <v>0</v>
      </c>
      <c r="C353" s="39">
        <v>0</v>
      </c>
      <c r="D353" s="39">
        <v>41934.532500000001</v>
      </c>
      <c r="E353" s="39">
        <v>52204.598102059957</v>
      </c>
      <c r="F353" s="39">
        <v>30549.777300000005</v>
      </c>
      <c r="G353" s="39">
        <v>21143.536560190394</v>
      </c>
      <c r="H353" s="40">
        <v>0.244907120451622</v>
      </c>
      <c r="I353" s="40">
        <v>-0.30789883171454768</v>
      </c>
      <c r="J353" s="40">
        <v>1.1917404809866028E-2</v>
      </c>
    </row>
    <row r="354" spans="1:10" ht="11.25" customHeight="1" x14ac:dyDescent="0.2">
      <c r="A354" s="49">
        <v>44774</v>
      </c>
      <c r="B354" s="39">
        <v>0</v>
      </c>
      <c r="C354" s="39">
        <v>0</v>
      </c>
      <c r="D354" s="39">
        <v>57971.374500000005</v>
      </c>
      <c r="E354" s="39">
        <v>72168.976897417582</v>
      </c>
      <c r="F354" s="39">
        <v>42232.796580000002</v>
      </c>
      <c r="G354" s="39">
        <v>29229.36785297986</v>
      </c>
      <c r="H354" s="40">
        <v>0.24490712045162177</v>
      </c>
      <c r="I354" s="40">
        <v>-0.30789883171454757</v>
      </c>
      <c r="J354" s="40">
        <v>1.191740480986625E-2</v>
      </c>
    </row>
    <row r="355" spans="1:10" ht="11.25" customHeight="1" x14ac:dyDescent="0.2">
      <c r="A355" s="44" t="s">
        <v>49</v>
      </c>
      <c r="B355" s="39">
        <v>0</v>
      </c>
      <c r="C355" s="39">
        <v>0</v>
      </c>
      <c r="D355" s="39">
        <v>882.5999999999998</v>
      </c>
      <c r="E355" s="39">
        <v>1098.7550245106015</v>
      </c>
      <c r="F355" s="39">
        <v>642.98400000000004</v>
      </c>
      <c r="G355" s="39">
        <v>445.00997758885336</v>
      </c>
      <c r="H355" s="40">
        <v>0.24490712045162244</v>
      </c>
      <c r="I355" s="40">
        <v>-0.30789883171454779</v>
      </c>
      <c r="J355" s="40">
        <v>1.191740480986625E-2</v>
      </c>
    </row>
    <row r="356" spans="1:10" ht="11.25" customHeight="1" x14ac:dyDescent="0.2">
      <c r="A356" s="45" t="s">
        <v>25</v>
      </c>
      <c r="B356" s="39">
        <v>0</v>
      </c>
      <c r="C356" s="39">
        <v>0</v>
      </c>
      <c r="D356" s="39">
        <v>882.5999999999998</v>
      </c>
      <c r="E356" s="39">
        <v>1098.7550245106015</v>
      </c>
      <c r="F356" s="39">
        <v>642.98400000000004</v>
      </c>
      <c r="G356" s="39">
        <v>445.00997758885336</v>
      </c>
      <c r="H356" s="40">
        <v>0.24490712045162244</v>
      </c>
      <c r="I356" s="40">
        <v>-0.30789883171454779</v>
      </c>
      <c r="J356" s="40">
        <v>1.191740480986625E-2</v>
      </c>
    </row>
    <row r="357" spans="1:10" ht="11.25" customHeight="1" x14ac:dyDescent="0.2">
      <c r="A357" s="46" t="s">
        <v>25</v>
      </c>
      <c r="B357" s="39">
        <v>0</v>
      </c>
      <c r="C357" s="39">
        <v>0</v>
      </c>
      <c r="D357" s="39">
        <v>882.5999999999998</v>
      </c>
      <c r="E357" s="39">
        <v>1098.7550245106015</v>
      </c>
      <c r="F357" s="39">
        <v>642.98400000000004</v>
      </c>
      <c r="G357" s="39">
        <v>445.00997758885336</v>
      </c>
      <c r="H357" s="40">
        <v>0.24490712045162244</v>
      </c>
      <c r="I357" s="40">
        <v>-0.30789883171454779</v>
      </c>
      <c r="J357" s="40">
        <v>1.191740480986625E-2</v>
      </c>
    </row>
    <row r="358" spans="1:10" ht="11.25" customHeight="1" x14ac:dyDescent="0.2">
      <c r="A358" s="47" t="s">
        <v>25</v>
      </c>
      <c r="B358" s="39">
        <v>0</v>
      </c>
      <c r="C358" s="39">
        <v>0</v>
      </c>
      <c r="D358" s="39">
        <v>882.5999999999998</v>
      </c>
      <c r="E358" s="39">
        <v>1098.7550245106015</v>
      </c>
      <c r="F358" s="39">
        <v>642.98400000000004</v>
      </c>
      <c r="G358" s="39">
        <v>445.00997758885336</v>
      </c>
      <c r="H358" s="40">
        <v>0.24490712045162244</v>
      </c>
      <c r="I358" s="40">
        <v>-0.30789883171454779</v>
      </c>
      <c r="J358" s="40">
        <v>1.191740480986625E-2</v>
      </c>
    </row>
    <row r="359" spans="1:10" ht="11.25" customHeight="1" x14ac:dyDescent="0.2">
      <c r="A359" s="48" t="s">
        <v>25</v>
      </c>
      <c r="B359" s="39">
        <v>0</v>
      </c>
      <c r="C359" s="39">
        <v>0</v>
      </c>
      <c r="D359" s="39">
        <v>882.5999999999998</v>
      </c>
      <c r="E359" s="39">
        <v>1098.7550245106015</v>
      </c>
      <c r="F359" s="39">
        <v>642.98400000000004</v>
      </c>
      <c r="G359" s="39">
        <v>445.00997758885336</v>
      </c>
      <c r="H359" s="40">
        <v>0.24490712045162244</v>
      </c>
      <c r="I359" s="40">
        <v>-0.30789883171454779</v>
      </c>
      <c r="J359" s="40">
        <v>1.191740480986625E-2</v>
      </c>
    </row>
    <row r="360" spans="1:10" ht="11.25" customHeight="1" x14ac:dyDescent="0.2">
      <c r="A360" s="49">
        <v>44440</v>
      </c>
      <c r="B360" s="39">
        <v>0</v>
      </c>
      <c r="C360" s="39">
        <v>0</v>
      </c>
      <c r="D360" s="39">
        <v>73.55</v>
      </c>
      <c r="E360" s="39">
        <v>91.562918709216802</v>
      </c>
      <c r="F360" s="39">
        <v>53.582000000000008</v>
      </c>
      <c r="G360" s="39">
        <v>37.084164799071111</v>
      </c>
      <c r="H360" s="40">
        <v>0.24490712045162222</v>
      </c>
      <c r="I360" s="40">
        <v>-0.30789883171454768</v>
      </c>
      <c r="J360" s="40">
        <v>1.191740480986625E-2</v>
      </c>
    </row>
    <row r="361" spans="1:10" ht="11.25" customHeight="1" x14ac:dyDescent="0.2">
      <c r="A361" s="49">
        <v>44470</v>
      </c>
      <c r="B361" s="39">
        <v>0</v>
      </c>
      <c r="C361" s="39">
        <v>0</v>
      </c>
      <c r="D361" s="39">
        <v>73.55</v>
      </c>
      <c r="E361" s="39">
        <v>91.562918709216802</v>
      </c>
      <c r="F361" s="39">
        <v>53.582000000000008</v>
      </c>
      <c r="G361" s="39">
        <v>37.084164799071111</v>
      </c>
      <c r="H361" s="40">
        <v>0.24490712045162222</v>
      </c>
      <c r="I361" s="40">
        <v>-0.30789883171454768</v>
      </c>
      <c r="J361" s="40">
        <v>1.191740480986625E-2</v>
      </c>
    </row>
    <row r="362" spans="1:10" ht="11.25" customHeight="1" x14ac:dyDescent="0.2">
      <c r="A362" s="49">
        <v>44501</v>
      </c>
      <c r="B362" s="39">
        <v>0</v>
      </c>
      <c r="C362" s="39">
        <v>0</v>
      </c>
      <c r="D362" s="39">
        <v>73.55</v>
      </c>
      <c r="E362" s="39">
        <v>91.562918709216802</v>
      </c>
      <c r="F362" s="39">
        <v>53.582000000000008</v>
      </c>
      <c r="G362" s="39">
        <v>37.084164799071111</v>
      </c>
      <c r="H362" s="40">
        <v>0.24490712045162222</v>
      </c>
      <c r="I362" s="40">
        <v>-0.30789883171454768</v>
      </c>
      <c r="J362" s="40">
        <v>1.191740480986625E-2</v>
      </c>
    </row>
    <row r="363" spans="1:10" ht="11.25" customHeight="1" x14ac:dyDescent="0.2">
      <c r="A363" s="49">
        <v>44531</v>
      </c>
      <c r="B363" s="39">
        <v>0</v>
      </c>
      <c r="C363" s="39">
        <v>0</v>
      </c>
      <c r="D363" s="39">
        <v>73.55</v>
      </c>
      <c r="E363" s="39">
        <v>91.562918709216802</v>
      </c>
      <c r="F363" s="39">
        <v>53.582000000000008</v>
      </c>
      <c r="G363" s="39">
        <v>37.084164799071111</v>
      </c>
      <c r="H363" s="40">
        <v>0.24490712045162222</v>
      </c>
      <c r="I363" s="40">
        <v>-0.30789883171454768</v>
      </c>
      <c r="J363" s="40">
        <v>1.191740480986625E-2</v>
      </c>
    </row>
    <row r="364" spans="1:10" ht="11.25" customHeight="1" x14ac:dyDescent="0.2">
      <c r="A364" s="49">
        <v>44562</v>
      </c>
      <c r="B364" s="39">
        <v>0</v>
      </c>
      <c r="C364" s="39">
        <v>0</v>
      </c>
      <c r="D364" s="39">
        <v>73.55</v>
      </c>
      <c r="E364" s="39">
        <v>91.562918709216802</v>
      </c>
      <c r="F364" s="39">
        <v>53.582000000000008</v>
      </c>
      <c r="G364" s="39">
        <v>37.084164799071111</v>
      </c>
      <c r="H364" s="40">
        <v>0.24490712045162222</v>
      </c>
      <c r="I364" s="40">
        <v>-0.30789883171454768</v>
      </c>
      <c r="J364" s="40">
        <v>1.191740480986625E-2</v>
      </c>
    </row>
    <row r="365" spans="1:10" ht="11.25" customHeight="1" x14ac:dyDescent="0.2">
      <c r="A365" s="49">
        <v>44593</v>
      </c>
      <c r="B365" s="39">
        <v>0</v>
      </c>
      <c r="C365" s="39">
        <v>0</v>
      </c>
      <c r="D365" s="39">
        <v>73.55</v>
      </c>
      <c r="E365" s="39">
        <v>91.562918709216802</v>
      </c>
      <c r="F365" s="39">
        <v>53.582000000000008</v>
      </c>
      <c r="G365" s="39">
        <v>37.084164799071111</v>
      </c>
      <c r="H365" s="40">
        <v>0.24490712045162222</v>
      </c>
      <c r="I365" s="40">
        <v>-0.30789883171454768</v>
      </c>
      <c r="J365" s="40">
        <v>1.191740480986625E-2</v>
      </c>
    </row>
    <row r="366" spans="1:10" ht="11.25" customHeight="1" x14ac:dyDescent="0.2">
      <c r="A366" s="49">
        <v>44621</v>
      </c>
      <c r="B366" s="39">
        <v>0</v>
      </c>
      <c r="C366" s="39">
        <v>0</v>
      </c>
      <c r="D366" s="39">
        <v>73.55</v>
      </c>
      <c r="E366" s="39">
        <v>91.562918709216802</v>
      </c>
      <c r="F366" s="39">
        <v>53.582000000000008</v>
      </c>
      <c r="G366" s="39">
        <v>37.084164799071111</v>
      </c>
      <c r="H366" s="40">
        <v>0.24490712045162222</v>
      </c>
      <c r="I366" s="40">
        <v>-0.30789883171454768</v>
      </c>
      <c r="J366" s="40">
        <v>1.191740480986625E-2</v>
      </c>
    </row>
    <row r="367" spans="1:10" ht="11.25" customHeight="1" x14ac:dyDescent="0.2">
      <c r="A367" s="49">
        <v>44652</v>
      </c>
      <c r="B367" s="39">
        <v>0</v>
      </c>
      <c r="C367" s="39">
        <v>0</v>
      </c>
      <c r="D367" s="39">
        <v>73.55</v>
      </c>
      <c r="E367" s="39">
        <v>91.562918709216802</v>
      </c>
      <c r="F367" s="39">
        <v>53.582000000000008</v>
      </c>
      <c r="G367" s="39">
        <v>37.084164799071111</v>
      </c>
      <c r="H367" s="40">
        <v>0.24490712045162222</v>
      </c>
      <c r="I367" s="40">
        <v>-0.30789883171454768</v>
      </c>
      <c r="J367" s="40">
        <v>1.191740480986625E-2</v>
      </c>
    </row>
    <row r="368" spans="1:10" ht="11.25" customHeight="1" x14ac:dyDescent="0.2">
      <c r="A368" s="49">
        <v>44682</v>
      </c>
      <c r="B368" s="39">
        <v>0</v>
      </c>
      <c r="C368" s="39">
        <v>0</v>
      </c>
      <c r="D368" s="39">
        <v>73.55</v>
      </c>
      <c r="E368" s="39">
        <v>91.562918709216802</v>
      </c>
      <c r="F368" s="39">
        <v>53.582000000000008</v>
      </c>
      <c r="G368" s="39">
        <v>37.084164799071111</v>
      </c>
      <c r="H368" s="40">
        <v>0.24490712045162222</v>
      </c>
      <c r="I368" s="40">
        <v>-0.30789883171454768</v>
      </c>
      <c r="J368" s="40">
        <v>1.191740480986625E-2</v>
      </c>
    </row>
    <row r="369" spans="1:10" ht="11.25" customHeight="1" x14ac:dyDescent="0.2">
      <c r="A369" s="49">
        <v>44713</v>
      </c>
      <c r="B369" s="39">
        <v>0</v>
      </c>
      <c r="C369" s="39">
        <v>0</v>
      </c>
      <c r="D369" s="39">
        <v>73.55</v>
      </c>
      <c r="E369" s="39">
        <v>91.562918709216802</v>
      </c>
      <c r="F369" s="39">
        <v>53.582000000000008</v>
      </c>
      <c r="G369" s="39">
        <v>37.084164799071111</v>
      </c>
      <c r="H369" s="40">
        <v>0.24490712045162222</v>
      </c>
      <c r="I369" s="40">
        <v>-0.30789883171454768</v>
      </c>
      <c r="J369" s="40">
        <v>1.191740480986625E-2</v>
      </c>
    </row>
    <row r="370" spans="1:10" ht="11.25" customHeight="1" x14ac:dyDescent="0.2">
      <c r="A370" s="49">
        <v>44743</v>
      </c>
      <c r="B370" s="39">
        <v>0</v>
      </c>
      <c r="C370" s="39">
        <v>0</v>
      </c>
      <c r="D370" s="39">
        <v>73.55</v>
      </c>
      <c r="E370" s="39">
        <v>91.562918709216802</v>
      </c>
      <c r="F370" s="39">
        <v>53.582000000000008</v>
      </c>
      <c r="G370" s="39">
        <v>37.084164799071111</v>
      </c>
      <c r="H370" s="40">
        <v>0.24490712045162222</v>
      </c>
      <c r="I370" s="40">
        <v>-0.30789883171454768</v>
      </c>
      <c r="J370" s="40">
        <v>1.191740480986625E-2</v>
      </c>
    </row>
    <row r="371" spans="1:10" ht="11.25" customHeight="1" x14ac:dyDescent="0.2">
      <c r="A371" s="49">
        <v>44774</v>
      </c>
      <c r="B371" s="39">
        <v>0</v>
      </c>
      <c r="C371" s="39">
        <v>0</v>
      </c>
      <c r="D371" s="39">
        <v>73.55</v>
      </c>
      <c r="E371" s="39">
        <v>91.562918709216802</v>
      </c>
      <c r="F371" s="39">
        <v>53.582000000000008</v>
      </c>
      <c r="G371" s="39">
        <v>37.084164799071111</v>
      </c>
      <c r="H371" s="40">
        <v>0.24490712045162222</v>
      </c>
      <c r="I371" s="40">
        <v>-0.30789883171454768</v>
      </c>
      <c r="J371" s="40">
        <v>1.191740480986625E-2</v>
      </c>
    </row>
    <row r="372" spans="1:10" ht="11.25" customHeight="1" x14ac:dyDescent="0.2">
      <c r="A372" s="44" t="s">
        <v>34</v>
      </c>
      <c r="B372" s="39">
        <v>0</v>
      </c>
      <c r="C372" s="39">
        <v>0</v>
      </c>
      <c r="D372" s="39">
        <v>126070.95174999999</v>
      </c>
      <c r="E372" s="39">
        <v>156946.62551568789</v>
      </c>
      <c r="F372" s="39">
        <v>91844.102469999998</v>
      </c>
      <c r="G372" s="39">
        <v>63565.41061961581</v>
      </c>
      <c r="H372" s="40">
        <v>0.24490712045162177</v>
      </c>
      <c r="I372" s="40">
        <v>-0.30789883171454768</v>
      </c>
      <c r="J372" s="40">
        <v>1.1917404809866028E-2</v>
      </c>
    </row>
    <row r="373" spans="1:10" ht="11.25" customHeight="1" x14ac:dyDescent="0.2">
      <c r="A373" s="45" t="s">
        <v>25</v>
      </c>
      <c r="B373" s="39">
        <v>0</v>
      </c>
      <c r="C373" s="39">
        <v>0</v>
      </c>
      <c r="D373" s="39">
        <v>126070.95174999999</v>
      </c>
      <c r="E373" s="39">
        <v>156946.62551568789</v>
      </c>
      <c r="F373" s="39">
        <v>91844.102469999998</v>
      </c>
      <c r="G373" s="39">
        <v>63565.41061961581</v>
      </c>
      <c r="H373" s="40">
        <v>0.24490712045162177</v>
      </c>
      <c r="I373" s="40">
        <v>-0.30789883171454768</v>
      </c>
      <c r="J373" s="40">
        <v>1.1917404809866028E-2</v>
      </c>
    </row>
    <row r="374" spans="1:10" ht="11.25" customHeight="1" x14ac:dyDescent="0.2">
      <c r="A374" s="46" t="s">
        <v>25</v>
      </c>
      <c r="B374" s="39">
        <v>0</v>
      </c>
      <c r="C374" s="39">
        <v>0</v>
      </c>
      <c r="D374" s="39">
        <v>126070.95174999999</v>
      </c>
      <c r="E374" s="39">
        <v>156946.62551568789</v>
      </c>
      <c r="F374" s="39">
        <v>91844.102469999998</v>
      </c>
      <c r="G374" s="39">
        <v>63565.41061961581</v>
      </c>
      <c r="H374" s="40">
        <v>0.24490712045162177</v>
      </c>
      <c r="I374" s="40">
        <v>-0.30789883171454768</v>
      </c>
      <c r="J374" s="40">
        <v>1.1917404809866028E-2</v>
      </c>
    </row>
    <row r="375" spans="1:10" ht="11.25" customHeight="1" x14ac:dyDescent="0.2">
      <c r="A375" s="47" t="s">
        <v>25</v>
      </c>
      <c r="B375" s="39">
        <v>0</v>
      </c>
      <c r="C375" s="39">
        <v>0</v>
      </c>
      <c r="D375" s="39">
        <v>126070.95174999999</v>
      </c>
      <c r="E375" s="39">
        <v>156946.62551568789</v>
      </c>
      <c r="F375" s="39">
        <v>91844.102469999998</v>
      </c>
      <c r="G375" s="39">
        <v>63565.41061961581</v>
      </c>
      <c r="H375" s="40">
        <v>0.24490712045162177</v>
      </c>
      <c r="I375" s="40">
        <v>-0.30789883171454768</v>
      </c>
      <c r="J375" s="40">
        <v>1.1917404809866028E-2</v>
      </c>
    </row>
    <row r="376" spans="1:10" ht="11.25" customHeight="1" x14ac:dyDescent="0.2">
      <c r="A376" s="48" t="s">
        <v>25</v>
      </c>
      <c r="B376" s="39">
        <v>0</v>
      </c>
      <c r="C376" s="39">
        <v>0</v>
      </c>
      <c r="D376" s="39">
        <v>126070.95174999999</v>
      </c>
      <c r="E376" s="39">
        <v>156946.62551568789</v>
      </c>
      <c r="F376" s="39">
        <v>91844.102469999998</v>
      </c>
      <c r="G376" s="39">
        <v>63565.41061961581</v>
      </c>
      <c r="H376" s="40">
        <v>0.24490712045162177</v>
      </c>
      <c r="I376" s="40">
        <v>-0.30789883171454768</v>
      </c>
      <c r="J376" s="40">
        <v>1.1917404809866028E-2</v>
      </c>
    </row>
    <row r="377" spans="1:10" ht="11.25" customHeight="1" x14ac:dyDescent="0.2">
      <c r="A377" s="49">
        <v>44440</v>
      </c>
      <c r="B377" s="39">
        <v>0</v>
      </c>
      <c r="C377" s="39">
        <v>0</v>
      </c>
      <c r="D377" s="39">
        <v>51831.4205</v>
      </c>
      <c r="E377" s="39">
        <v>64525.304443572168</v>
      </c>
      <c r="F377" s="39">
        <v>37759.771220000002</v>
      </c>
      <c r="G377" s="39">
        <v>26133.581775553401</v>
      </c>
      <c r="H377" s="40">
        <v>0.244907120451622</v>
      </c>
      <c r="I377" s="40">
        <v>-0.30789883171454768</v>
      </c>
      <c r="J377" s="40">
        <v>1.1917404809866028E-2</v>
      </c>
    </row>
    <row r="378" spans="1:10" ht="11.25" customHeight="1" x14ac:dyDescent="0.2">
      <c r="A378" s="49">
        <v>44470</v>
      </c>
      <c r="B378" s="39">
        <v>0</v>
      </c>
      <c r="C378" s="39">
        <v>0</v>
      </c>
      <c r="D378" s="39">
        <v>-24100.128500000006</v>
      </c>
      <c r="E378" s="39">
        <v>-30002.421573449075</v>
      </c>
      <c r="F378" s="39">
        <v>-17557.213940000001</v>
      </c>
      <c r="G378" s="39">
        <v>-12151.368279711634</v>
      </c>
      <c r="H378" s="40">
        <v>0.244907120451622</v>
      </c>
      <c r="I378" s="40">
        <v>-0.30789883171454746</v>
      </c>
      <c r="J378" s="40">
        <v>1.191740480986625E-2</v>
      </c>
    </row>
    <row r="379" spans="1:10" ht="11.25" customHeight="1" x14ac:dyDescent="0.2">
      <c r="A379" s="49">
        <v>44501</v>
      </c>
      <c r="B379" s="39">
        <v>0</v>
      </c>
      <c r="C379" s="39">
        <v>0</v>
      </c>
      <c r="D379" s="39">
        <v>10830.605250000001</v>
      </c>
      <c r="E379" s="39">
        <v>13483.09759452572</v>
      </c>
      <c r="F379" s="39">
        <v>7890.2174100000002</v>
      </c>
      <c r="G379" s="39">
        <v>5460.8286874872165</v>
      </c>
      <c r="H379" s="40">
        <v>0.244907120451622</v>
      </c>
      <c r="I379" s="40">
        <v>-0.30789883171454757</v>
      </c>
      <c r="J379" s="40">
        <v>1.191740480986625E-2</v>
      </c>
    </row>
    <row r="380" spans="1:10" ht="11.25" customHeight="1" x14ac:dyDescent="0.2">
      <c r="A380" s="49">
        <v>44531</v>
      </c>
      <c r="B380" s="39">
        <v>0</v>
      </c>
      <c r="C380" s="39">
        <v>0</v>
      </c>
      <c r="D380" s="39">
        <v>11063.391</v>
      </c>
      <c r="E380" s="39">
        <v>13772.894232240391</v>
      </c>
      <c r="F380" s="39">
        <v>8059.8044400000017</v>
      </c>
      <c r="G380" s="39">
        <v>5578.200069076277</v>
      </c>
      <c r="H380" s="40">
        <v>0.244907120451622</v>
      </c>
      <c r="I380" s="40">
        <v>-0.30789883171454768</v>
      </c>
      <c r="J380" s="40">
        <v>1.1917404809866028E-2</v>
      </c>
    </row>
    <row r="381" spans="1:10" ht="11.25" customHeight="1" x14ac:dyDescent="0.2">
      <c r="A381" s="49">
        <v>44562</v>
      </c>
      <c r="B381" s="39">
        <v>0</v>
      </c>
      <c r="C381" s="39">
        <v>0</v>
      </c>
      <c r="D381" s="39">
        <v>7467.1637499999988</v>
      </c>
      <c r="E381" s="39">
        <v>9295.9253219532347</v>
      </c>
      <c r="F381" s="39">
        <v>5439.91255</v>
      </c>
      <c r="G381" s="39">
        <v>3764.9698312256942</v>
      </c>
      <c r="H381" s="40">
        <v>0.24490712045162222</v>
      </c>
      <c r="I381" s="40">
        <v>-0.30789883171454768</v>
      </c>
      <c r="J381" s="40">
        <v>1.1917404809866028E-2</v>
      </c>
    </row>
    <row r="382" spans="1:10" ht="11.25" customHeight="1" x14ac:dyDescent="0.2">
      <c r="A382" s="49">
        <v>44593</v>
      </c>
      <c r="B382" s="39">
        <v>0</v>
      </c>
      <c r="C382" s="39">
        <v>0</v>
      </c>
      <c r="D382" s="39">
        <v>8921.6150000000016</v>
      </c>
      <c r="E382" s="39">
        <v>11106.582039427998</v>
      </c>
      <c r="F382" s="39">
        <v>6499.4966000000013</v>
      </c>
      <c r="G382" s="39">
        <v>4498.3091901273265</v>
      </c>
      <c r="H382" s="40">
        <v>0.24490712045162177</v>
      </c>
      <c r="I382" s="40">
        <v>-0.30789883171454757</v>
      </c>
      <c r="J382" s="40">
        <v>1.1917404809866028E-2</v>
      </c>
    </row>
    <row r="383" spans="1:10" ht="11.25" customHeight="1" x14ac:dyDescent="0.2">
      <c r="A383" s="49">
        <v>44621</v>
      </c>
      <c r="B383" s="39">
        <v>0</v>
      </c>
      <c r="C383" s="39">
        <v>0</v>
      </c>
      <c r="D383" s="39">
        <v>10031.4845</v>
      </c>
      <c r="E383" s="39">
        <v>12488.266482750079</v>
      </c>
      <c r="F383" s="39">
        <v>7308.0489800000005</v>
      </c>
      <c r="G383" s="39">
        <v>5057.9092369453092</v>
      </c>
      <c r="H383" s="40">
        <v>0.244907120451622</v>
      </c>
      <c r="I383" s="40">
        <v>-0.30789883171454757</v>
      </c>
      <c r="J383" s="40">
        <v>1.1917404809866028E-2</v>
      </c>
    </row>
    <row r="384" spans="1:10" ht="11.25" customHeight="1" x14ac:dyDescent="0.2">
      <c r="A384" s="49">
        <v>44652</v>
      </c>
      <c r="B384" s="39">
        <v>0</v>
      </c>
      <c r="C384" s="39">
        <v>0</v>
      </c>
      <c r="D384" s="39">
        <v>11087.294749999999</v>
      </c>
      <c r="E384" s="39">
        <v>13802.652180820885</v>
      </c>
      <c r="F384" s="39">
        <v>8077.2185900000004</v>
      </c>
      <c r="G384" s="39">
        <v>5590.2524226359747</v>
      </c>
      <c r="H384" s="40">
        <v>0.244907120451622</v>
      </c>
      <c r="I384" s="40">
        <v>-0.30789883171454757</v>
      </c>
      <c r="J384" s="40">
        <v>1.191740480986625E-2</v>
      </c>
    </row>
    <row r="385" spans="1:10" ht="11.25" customHeight="1" x14ac:dyDescent="0.2">
      <c r="A385" s="49">
        <v>44682</v>
      </c>
      <c r="B385" s="39">
        <v>0</v>
      </c>
      <c r="C385" s="39">
        <v>0</v>
      </c>
      <c r="D385" s="39">
        <v>9550.0997500000012</v>
      </c>
      <c r="E385" s="39">
        <v>11888.987179798254</v>
      </c>
      <c r="F385" s="39">
        <v>6957.3547900000003</v>
      </c>
      <c r="G385" s="39">
        <v>4815.1933783353888</v>
      </c>
      <c r="H385" s="40">
        <v>0.24490712045162177</v>
      </c>
      <c r="I385" s="40">
        <v>-0.30789883171454757</v>
      </c>
      <c r="J385" s="40">
        <v>1.1917404809866028E-2</v>
      </c>
    </row>
    <row r="386" spans="1:10" ht="11.25" customHeight="1" x14ac:dyDescent="0.2">
      <c r="A386" s="49">
        <v>44713</v>
      </c>
      <c r="B386" s="39">
        <v>0</v>
      </c>
      <c r="C386" s="39">
        <v>0</v>
      </c>
      <c r="D386" s="39">
        <v>10517.649999999998</v>
      </c>
      <c r="E386" s="39">
        <v>13093.497375418001</v>
      </c>
      <c r="F386" s="39">
        <v>7662.2260000000006</v>
      </c>
      <c r="G386" s="39">
        <v>5303.0355662671682</v>
      </c>
      <c r="H386" s="40">
        <v>0.24490712045162222</v>
      </c>
      <c r="I386" s="40">
        <v>-0.30789883171454768</v>
      </c>
      <c r="J386" s="40">
        <v>1.191740480986625E-2</v>
      </c>
    </row>
    <row r="387" spans="1:10" ht="11.25" customHeight="1" x14ac:dyDescent="0.2">
      <c r="A387" s="49">
        <v>44743</v>
      </c>
      <c r="B387" s="39">
        <v>0</v>
      </c>
      <c r="C387" s="39">
        <v>0</v>
      </c>
      <c r="D387" s="39">
        <v>9633.9467499999992</v>
      </c>
      <c r="E387" s="39">
        <v>11993.368907126762</v>
      </c>
      <c r="F387" s="39">
        <v>7018.4382700000006</v>
      </c>
      <c r="G387" s="39">
        <v>4857.4693262063292</v>
      </c>
      <c r="H387" s="40">
        <v>0.244907120451622</v>
      </c>
      <c r="I387" s="40">
        <v>-0.30789883171454768</v>
      </c>
      <c r="J387" s="40">
        <v>1.1917404809866028E-2</v>
      </c>
    </row>
    <row r="388" spans="1:10" ht="11.25" customHeight="1" x14ac:dyDescent="0.2">
      <c r="A388" s="49">
        <v>44774</v>
      </c>
      <c r="B388" s="39">
        <v>0</v>
      </c>
      <c r="C388" s="39">
        <v>0</v>
      </c>
      <c r="D388" s="39">
        <v>9236.4089999999997</v>
      </c>
      <c r="E388" s="39">
        <v>11498.471331503446</v>
      </c>
      <c r="F388" s="39">
        <v>6728.8275600000006</v>
      </c>
      <c r="G388" s="39">
        <v>4657.0294154673502</v>
      </c>
      <c r="H388" s="40">
        <v>0.244907120451622</v>
      </c>
      <c r="I388" s="40">
        <v>-0.30789883171454768</v>
      </c>
      <c r="J388" s="40">
        <v>1.191740480986625E-2</v>
      </c>
    </row>
    <row r="389" spans="1:10" ht="11.25" customHeight="1" x14ac:dyDescent="0.2">
      <c r="A389" s="44" t="s">
        <v>42</v>
      </c>
      <c r="B389" s="39">
        <v>0</v>
      </c>
      <c r="C389" s="39">
        <v>0</v>
      </c>
      <c r="D389" s="39">
        <v>17664.135750000001</v>
      </c>
      <c r="E389" s="39">
        <v>21990.20837179905</v>
      </c>
      <c r="F389" s="39">
        <v>12868.521030000002</v>
      </c>
      <c r="G389" s="39">
        <v>8906.3184389689141</v>
      </c>
      <c r="H389" s="40">
        <v>0.24490712045162177</v>
      </c>
      <c r="I389" s="40">
        <v>-0.30789883171454768</v>
      </c>
      <c r="J389" s="40">
        <v>1.1917404809866028E-2</v>
      </c>
    </row>
    <row r="390" spans="1:10" ht="11.25" customHeight="1" x14ac:dyDescent="0.2">
      <c r="A390" s="45" t="s">
        <v>25</v>
      </c>
      <c r="B390" s="39">
        <v>0</v>
      </c>
      <c r="C390" s="39">
        <v>0</v>
      </c>
      <c r="D390" s="39">
        <v>17664.135750000001</v>
      </c>
      <c r="E390" s="39">
        <v>21990.20837179905</v>
      </c>
      <c r="F390" s="39">
        <v>12868.521030000002</v>
      </c>
      <c r="G390" s="39">
        <v>8906.3184389689141</v>
      </c>
      <c r="H390" s="40">
        <v>0.24490712045162177</v>
      </c>
      <c r="I390" s="40">
        <v>-0.30789883171454768</v>
      </c>
      <c r="J390" s="40">
        <v>1.1917404809866028E-2</v>
      </c>
    </row>
    <row r="391" spans="1:10" ht="11.25" customHeight="1" x14ac:dyDescent="0.2">
      <c r="A391" s="46" t="s">
        <v>25</v>
      </c>
      <c r="B391" s="39">
        <v>0</v>
      </c>
      <c r="C391" s="39">
        <v>0</v>
      </c>
      <c r="D391" s="39">
        <v>17664.135750000001</v>
      </c>
      <c r="E391" s="39">
        <v>21990.20837179905</v>
      </c>
      <c r="F391" s="39">
        <v>12868.521030000002</v>
      </c>
      <c r="G391" s="39">
        <v>8906.3184389689141</v>
      </c>
      <c r="H391" s="40">
        <v>0.24490712045162177</v>
      </c>
      <c r="I391" s="40">
        <v>-0.30789883171454768</v>
      </c>
      <c r="J391" s="40">
        <v>1.1917404809866028E-2</v>
      </c>
    </row>
    <row r="392" spans="1:10" ht="11.25" customHeight="1" x14ac:dyDescent="0.2">
      <c r="A392" s="47" t="s">
        <v>25</v>
      </c>
      <c r="B392" s="39">
        <v>0</v>
      </c>
      <c r="C392" s="39">
        <v>0</v>
      </c>
      <c r="D392" s="39">
        <v>17664.135750000001</v>
      </c>
      <c r="E392" s="39">
        <v>21990.20837179905</v>
      </c>
      <c r="F392" s="39">
        <v>12868.521030000002</v>
      </c>
      <c r="G392" s="39">
        <v>8906.3184389689141</v>
      </c>
      <c r="H392" s="40">
        <v>0.24490712045162177</v>
      </c>
      <c r="I392" s="40">
        <v>-0.30789883171454768</v>
      </c>
      <c r="J392" s="40">
        <v>1.1917404809866028E-2</v>
      </c>
    </row>
    <row r="393" spans="1:10" ht="11.25" customHeight="1" x14ac:dyDescent="0.2">
      <c r="A393" s="48" t="s">
        <v>25</v>
      </c>
      <c r="B393" s="39">
        <v>0</v>
      </c>
      <c r="C393" s="39">
        <v>0</v>
      </c>
      <c r="D393" s="39">
        <v>17664.135750000001</v>
      </c>
      <c r="E393" s="39">
        <v>21990.20837179905</v>
      </c>
      <c r="F393" s="39">
        <v>12868.521030000002</v>
      </c>
      <c r="G393" s="39">
        <v>8906.3184389689141</v>
      </c>
      <c r="H393" s="40">
        <v>0.24490712045162177</v>
      </c>
      <c r="I393" s="40">
        <v>-0.30789883171454768</v>
      </c>
      <c r="J393" s="40">
        <v>1.1917404809866028E-2</v>
      </c>
    </row>
    <row r="394" spans="1:10" ht="11.25" customHeight="1" x14ac:dyDescent="0.2">
      <c r="A394" s="49">
        <v>44440</v>
      </c>
      <c r="B394" s="39">
        <v>0</v>
      </c>
      <c r="C394" s="39">
        <v>0</v>
      </c>
      <c r="D394" s="39">
        <v>991.82175000000007</v>
      </c>
      <c r="E394" s="39">
        <v>1234.7259587937885</v>
      </c>
      <c r="F394" s="39">
        <v>722.55327000000011</v>
      </c>
      <c r="G394" s="39">
        <v>500.07996231547395</v>
      </c>
      <c r="H394" s="40">
        <v>0.244907120451622</v>
      </c>
      <c r="I394" s="40">
        <v>-0.30789883171454768</v>
      </c>
      <c r="J394" s="40">
        <v>1.1917404809866028E-2</v>
      </c>
    </row>
    <row r="395" spans="1:10" ht="11.25" customHeight="1" x14ac:dyDescent="0.2">
      <c r="A395" s="49">
        <v>44470</v>
      </c>
      <c r="B395" s="39">
        <v>0</v>
      </c>
      <c r="C395" s="39">
        <v>0</v>
      </c>
      <c r="D395" s="39">
        <v>1297.422</v>
      </c>
      <c r="E395" s="39">
        <v>1615.1698860305844</v>
      </c>
      <c r="F395" s="39">
        <v>945.18648000000007</v>
      </c>
      <c r="G395" s="39">
        <v>654.16466705561447</v>
      </c>
      <c r="H395" s="40">
        <v>0.244907120451622</v>
      </c>
      <c r="I395" s="40">
        <v>-0.30789883171454757</v>
      </c>
      <c r="J395" s="40">
        <v>1.191740480986625E-2</v>
      </c>
    </row>
    <row r="396" spans="1:10" ht="11.25" customHeight="1" x14ac:dyDescent="0.2">
      <c r="A396" s="49">
        <v>44501</v>
      </c>
      <c r="B396" s="39">
        <v>0</v>
      </c>
      <c r="C396" s="39">
        <v>0</v>
      </c>
      <c r="D396" s="39">
        <v>1192.981</v>
      </c>
      <c r="E396" s="39">
        <v>1485.1505414634964</v>
      </c>
      <c r="F396" s="39">
        <v>869.10004000000015</v>
      </c>
      <c r="G396" s="39">
        <v>601.50515304093346</v>
      </c>
      <c r="H396" s="40">
        <v>0.244907120451622</v>
      </c>
      <c r="I396" s="40">
        <v>-0.30789883171454768</v>
      </c>
      <c r="J396" s="40">
        <v>1.191740480986625E-2</v>
      </c>
    </row>
    <row r="397" spans="1:10" ht="11.25" customHeight="1" x14ac:dyDescent="0.2">
      <c r="A397" s="49">
        <v>44531</v>
      </c>
      <c r="B397" s="39">
        <v>0</v>
      </c>
      <c r="C397" s="39">
        <v>0</v>
      </c>
      <c r="D397" s="39">
        <v>1587.2089999999998</v>
      </c>
      <c r="E397" s="39">
        <v>1975.9277857448983</v>
      </c>
      <c r="F397" s="39">
        <v>1156.2995600000002</v>
      </c>
      <c r="G397" s="39">
        <v>800.27627636395459</v>
      </c>
      <c r="H397" s="40">
        <v>0.244907120451622</v>
      </c>
      <c r="I397" s="40">
        <v>-0.30789883171454768</v>
      </c>
      <c r="J397" s="40">
        <v>1.1917404809866028E-2</v>
      </c>
    </row>
    <row r="398" spans="1:10" ht="11.25" customHeight="1" x14ac:dyDescent="0.2">
      <c r="A398" s="49">
        <v>44562</v>
      </c>
      <c r="B398" s="39">
        <v>0</v>
      </c>
      <c r="C398" s="39">
        <v>0</v>
      </c>
      <c r="D398" s="39">
        <v>1219.8267500000002</v>
      </c>
      <c r="E398" s="39">
        <v>1518.5710067923605</v>
      </c>
      <c r="F398" s="39">
        <v>888.6574700000001</v>
      </c>
      <c r="G398" s="39">
        <v>615.0408731925944</v>
      </c>
      <c r="H398" s="40">
        <v>0.24490712045162177</v>
      </c>
      <c r="I398" s="40">
        <v>-0.30789883171454768</v>
      </c>
      <c r="J398" s="40">
        <v>1.1917404809866028E-2</v>
      </c>
    </row>
    <row r="399" spans="1:10" ht="11.25" customHeight="1" x14ac:dyDescent="0.2">
      <c r="A399" s="49">
        <v>44593</v>
      </c>
      <c r="B399" s="39">
        <v>0</v>
      </c>
      <c r="C399" s="39">
        <v>0</v>
      </c>
      <c r="D399" s="39">
        <v>1273.5182500000001</v>
      </c>
      <c r="E399" s="39">
        <v>1585.4119374500888</v>
      </c>
      <c r="F399" s="39">
        <v>927.77233000000012</v>
      </c>
      <c r="G399" s="39">
        <v>642.11231349591628</v>
      </c>
      <c r="H399" s="40">
        <v>0.24490712045162177</v>
      </c>
      <c r="I399" s="40">
        <v>-0.30789883171454768</v>
      </c>
      <c r="J399" s="40">
        <v>1.1917404809866028E-2</v>
      </c>
    </row>
    <row r="400" spans="1:10" ht="11.25" customHeight="1" x14ac:dyDescent="0.2">
      <c r="A400" s="49">
        <v>44621</v>
      </c>
      <c r="B400" s="39">
        <v>0</v>
      </c>
      <c r="C400" s="39">
        <v>0</v>
      </c>
      <c r="D400" s="39">
        <v>1933.6295</v>
      </c>
      <c r="E400" s="39">
        <v>2407.1891328653096</v>
      </c>
      <c r="F400" s="39">
        <v>1408.6707800000001</v>
      </c>
      <c r="G400" s="39">
        <v>974.94269256757957</v>
      </c>
      <c r="H400" s="40">
        <v>0.244907120451622</v>
      </c>
      <c r="I400" s="40">
        <v>-0.30789883171454757</v>
      </c>
      <c r="J400" s="40">
        <v>1.1917404809866028E-2</v>
      </c>
    </row>
    <row r="401" spans="1:10" ht="11.25" customHeight="1" x14ac:dyDescent="0.2">
      <c r="A401" s="49">
        <v>44652</v>
      </c>
      <c r="B401" s="39">
        <v>0</v>
      </c>
      <c r="C401" s="39">
        <v>0</v>
      </c>
      <c r="D401" s="39">
        <v>2052.7804999999998</v>
      </c>
      <c r="E401" s="39">
        <v>2555.5210611742409</v>
      </c>
      <c r="F401" s="39">
        <v>1495.4736200000002</v>
      </c>
      <c r="G401" s="39">
        <v>1035.0190395420748</v>
      </c>
      <c r="H401" s="40">
        <v>0.24490712045162222</v>
      </c>
      <c r="I401" s="40">
        <v>-0.30789883171454768</v>
      </c>
      <c r="J401" s="40">
        <v>1.191740480986625E-2</v>
      </c>
    </row>
    <row r="402" spans="1:10" ht="11.25" customHeight="1" x14ac:dyDescent="0.2">
      <c r="A402" s="49">
        <v>44682</v>
      </c>
      <c r="B402" s="39">
        <v>0</v>
      </c>
      <c r="C402" s="39">
        <v>0</v>
      </c>
      <c r="D402" s="39">
        <v>1790.9425000000001</v>
      </c>
      <c r="E402" s="39">
        <v>2229.557070569429</v>
      </c>
      <c r="F402" s="39">
        <v>1304.7217000000001</v>
      </c>
      <c r="G402" s="39">
        <v>902.99941285738157</v>
      </c>
      <c r="H402" s="40">
        <v>0.244907120451622</v>
      </c>
      <c r="I402" s="40">
        <v>-0.30789883171454757</v>
      </c>
      <c r="J402" s="40">
        <v>1.191740480986625E-2</v>
      </c>
    </row>
    <row r="403" spans="1:10" ht="11.25" customHeight="1" x14ac:dyDescent="0.2">
      <c r="A403" s="49">
        <v>44713</v>
      </c>
      <c r="B403" s="39">
        <v>0</v>
      </c>
      <c r="C403" s="39">
        <v>0</v>
      </c>
      <c r="D403" s="39">
        <v>1571.028</v>
      </c>
      <c r="E403" s="39">
        <v>1955.7839436288709</v>
      </c>
      <c r="F403" s="39">
        <v>1144.5115200000002</v>
      </c>
      <c r="G403" s="39">
        <v>792.11776010815902</v>
      </c>
      <c r="H403" s="40">
        <v>0.244907120451622</v>
      </c>
      <c r="I403" s="40">
        <v>-0.30789883171454768</v>
      </c>
      <c r="J403" s="40">
        <v>1.191740480986625E-2</v>
      </c>
    </row>
    <row r="404" spans="1:10" ht="11.25" customHeight="1" x14ac:dyDescent="0.2">
      <c r="A404" s="49">
        <v>44743</v>
      </c>
      <c r="B404" s="39">
        <v>0</v>
      </c>
      <c r="C404" s="39">
        <v>0</v>
      </c>
      <c r="D404" s="39">
        <v>1545.2855</v>
      </c>
      <c r="E404" s="39">
        <v>1923.7369220806449</v>
      </c>
      <c r="F404" s="39">
        <v>1125.75782</v>
      </c>
      <c r="G404" s="39">
        <v>779.13830242848405</v>
      </c>
      <c r="H404" s="40">
        <v>0.244907120451622</v>
      </c>
      <c r="I404" s="40">
        <v>-0.30789883171454757</v>
      </c>
      <c r="J404" s="40">
        <v>1.191740480986625E-2</v>
      </c>
    </row>
    <row r="405" spans="1:10" ht="11.25" customHeight="1" x14ac:dyDescent="0.2">
      <c r="A405" s="49">
        <v>44774</v>
      </c>
      <c r="B405" s="39">
        <v>0</v>
      </c>
      <c r="C405" s="39">
        <v>0</v>
      </c>
      <c r="D405" s="39">
        <v>1207.691</v>
      </c>
      <c r="E405" s="39">
        <v>1503.4631252053398</v>
      </c>
      <c r="F405" s="39">
        <v>879.81644000000006</v>
      </c>
      <c r="G405" s="39">
        <v>608.92198600074767</v>
      </c>
      <c r="H405" s="40">
        <v>0.244907120451622</v>
      </c>
      <c r="I405" s="40">
        <v>-0.30789883171454757</v>
      </c>
      <c r="J405" s="40">
        <v>1.1917404809866028E-2</v>
      </c>
    </row>
    <row r="406" spans="1:10" ht="11.25" customHeight="1" x14ac:dyDescent="0.2">
      <c r="A406" s="44" t="s">
        <v>47</v>
      </c>
      <c r="B406" s="39">
        <v>0</v>
      </c>
      <c r="C406" s="39">
        <v>0</v>
      </c>
      <c r="D406" s="39">
        <v>68955.169689999995</v>
      </c>
      <c r="E406" s="39">
        <v>85842.781739030863</v>
      </c>
      <c r="F406" s="39">
        <v>50234.614579599998</v>
      </c>
      <c r="G406" s="39">
        <v>34767.435438910579</v>
      </c>
      <c r="H406" s="40">
        <v>0.244907120451622</v>
      </c>
      <c r="I406" s="40">
        <v>-0.30789883171454757</v>
      </c>
      <c r="J406" s="40">
        <v>1.1917404809866028E-2</v>
      </c>
    </row>
    <row r="407" spans="1:10" ht="11.25" customHeight="1" x14ac:dyDescent="0.2">
      <c r="A407" s="45" t="s">
        <v>48</v>
      </c>
      <c r="B407" s="39">
        <v>0</v>
      </c>
      <c r="C407" s="39">
        <v>0</v>
      </c>
      <c r="D407" s="39">
        <v>68955.169689999995</v>
      </c>
      <c r="E407" s="39">
        <v>85842.781739030863</v>
      </c>
      <c r="F407" s="39">
        <v>50234.614579599998</v>
      </c>
      <c r="G407" s="39">
        <v>34767.435438910579</v>
      </c>
      <c r="H407" s="40">
        <v>0.244907120451622</v>
      </c>
      <c r="I407" s="40">
        <v>-0.30789883171454757</v>
      </c>
      <c r="J407" s="40">
        <v>1.1917404809866028E-2</v>
      </c>
    </row>
    <row r="408" spans="1:10" ht="11.25" customHeight="1" x14ac:dyDescent="0.2">
      <c r="A408" s="46" t="s">
        <v>25</v>
      </c>
      <c r="B408" s="39">
        <v>0</v>
      </c>
      <c r="C408" s="39">
        <v>0</v>
      </c>
      <c r="D408" s="39">
        <v>68955.169689999995</v>
      </c>
      <c r="E408" s="39">
        <v>85842.781739030863</v>
      </c>
      <c r="F408" s="39">
        <v>50234.614579599998</v>
      </c>
      <c r="G408" s="39">
        <v>34767.435438910579</v>
      </c>
      <c r="H408" s="40">
        <v>0.244907120451622</v>
      </c>
      <c r="I408" s="40">
        <v>-0.30789883171454757</v>
      </c>
      <c r="J408" s="40">
        <v>1.1917404809866028E-2</v>
      </c>
    </row>
    <row r="409" spans="1:10" ht="11.25" customHeight="1" x14ac:dyDescent="0.2">
      <c r="A409" s="47" t="s">
        <v>25</v>
      </c>
      <c r="B409" s="39">
        <v>0</v>
      </c>
      <c r="C409" s="39">
        <v>0</v>
      </c>
      <c r="D409" s="39">
        <v>68955.169689999995</v>
      </c>
      <c r="E409" s="39">
        <v>85842.781739030863</v>
      </c>
      <c r="F409" s="39">
        <v>50234.614579599998</v>
      </c>
      <c r="G409" s="39">
        <v>34767.435438910579</v>
      </c>
      <c r="H409" s="40">
        <v>0.244907120451622</v>
      </c>
      <c r="I409" s="40">
        <v>-0.30789883171454757</v>
      </c>
      <c r="J409" s="40">
        <v>1.1917404809866028E-2</v>
      </c>
    </row>
    <row r="410" spans="1:10" ht="11.25" customHeight="1" x14ac:dyDescent="0.2">
      <c r="A410" s="48" t="s">
        <v>25</v>
      </c>
      <c r="B410" s="39">
        <v>0</v>
      </c>
      <c r="C410" s="39">
        <v>0</v>
      </c>
      <c r="D410" s="39">
        <v>68955.169689999995</v>
      </c>
      <c r="E410" s="39">
        <v>85842.781739030863</v>
      </c>
      <c r="F410" s="39">
        <v>50234.614579599998</v>
      </c>
      <c r="G410" s="39">
        <v>34767.435438910579</v>
      </c>
      <c r="H410" s="40">
        <v>0.244907120451622</v>
      </c>
      <c r="I410" s="40">
        <v>-0.30789883171454757</v>
      </c>
      <c r="J410" s="40">
        <v>1.1917404809866028E-2</v>
      </c>
    </row>
    <row r="411" spans="1:10" ht="11.25" customHeight="1" x14ac:dyDescent="0.2">
      <c r="A411" s="49">
        <v>44440</v>
      </c>
      <c r="B411" s="39">
        <v>0</v>
      </c>
      <c r="C411" s="39">
        <v>0</v>
      </c>
      <c r="D411" s="39">
        <v>6113.0935399999998</v>
      </c>
      <c r="E411" s="39">
        <v>7610.2336759328118</v>
      </c>
      <c r="F411" s="39">
        <v>4453.4572136000006</v>
      </c>
      <c r="G411" s="39">
        <v>3082.2429404418353</v>
      </c>
      <c r="H411" s="40">
        <v>0.244907120451622</v>
      </c>
      <c r="I411" s="40">
        <v>-0.30789883171454768</v>
      </c>
      <c r="J411" s="40">
        <v>1.1917404809866028E-2</v>
      </c>
    </row>
    <row r="412" spans="1:10" ht="11.25" customHeight="1" x14ac:dyDescent="0.2">
      <c r="A412" s="49">
        <v>44470</v>
      </c>
      <c r="B412" s="39">
        <v>0</v>
      </c>
      <c r="C412" s="39">
        <v>0</v>
      </c>
      <c r="D412" s="39">
        <v>5304.8820099999994</v>
      </c>
      <c r="E412" s="39">
        <v>6604.0853874047116</v>
      </c>
      <c r="F412" s="39">
        <v>3864.6660483999999</v>
      </c>
      <c r="G412" s="39">
        <v>2674.7398871307628</v>
      </c>
      <c r="H412" s="40">
        <v>0.244907120451622</v>
      </c>
      <c r="I412" s="40">
        <v>-0.30789883171454757</v>
      </c>
      <c r="J412" s="40">
        <v>1.191740480986625E-2</v>
      </c>
    </row>
    <row r="413" spans="1:10" ht="11.25" customHeight="1" x14ac:dyDescent="0.2">
      <c r="A413" s="49">
        <v>44501</v>
      </c>
      <c r="B413" s="39">
        <v>0</v>
      </c>
      <c r="C413" s="39">
        <v>0</v>
      </c>
      <c r="D413" s="39">
        <v>5119.9405349999997</v>
      </c>
      <c r="E413" s="39">
        <v>6373.8504283103866</v>
      </c>
      <c r="F413" s="39">
        <v>3729.9341094000006</v>
      </c>
      <c r="G413" s="39">
        <v>2581.4917547434984</v>
      </c>
      <c r="H413" s="40">
        <v>0.244907120451622</v>
      </c>
      <c r="I413" s="40">
        <v>-0.30789883171454768</v>
      </c>
      <c r="J413" s="40">
        <v>1.1917404809866028E-2</v>
      </c>
    </row>
    <row r="414" spans="1:10" ht="11.25" customHeight="1" x14ac:dyDescent="0.2">
      <c r="A414" s="49">
        <v>44531</v>
      </c>
      <c r="B414" s="39">
        <v>0</v>
      </c>
      <c r="C414" s="39">
        <v>0</v>
      </c>
      <c r="D414" s="39">
        <v>5671.6537950000002</v>
      </c>
      <c r="E414" s="39">
        <v>7060.682194131964</v>
      </c>
      <c r="F414" s="39">
        <v>4131.8634078000005</v>
      </c>
      <c r="G414" s="39">
        <v>2859.6674917342907</v>
      </c>
      <c r="H414" s="40">
        <v>0.244907120451622</v>
      </c>
      <c r="I414" s="40">
        <v>-0.30789883171454768</v>
      </c>
      <c r="J414" s="40">
        <v>1.1917404809866028E-2</v>
      </c>
    </row>
    <row r="415" spans="1:10" ht="11.25" customHeight="1" x14ac:dyDescent="0.2">
      <c r="A415" s="49">
        <v>44562</v>
      </c>
      <c r="B415" s="39">
        <v>0</v>
      </c>
      <c r="C415" s="39">
        <v>0</v>
      </c>
      <c r="D415" s="39">
        <v>5563.4543899999999</v>
      </c>
      <c r="E415" s="39">
        <v>6925.9839844188355</v>
      </c>
      <c r="F415" s="39">
        <v>4053.0389276000005</v>
      </c>
      <c r="G415" s="39">
        <v>2805.1129768983774</v>
      </c>
      <c r="H415" s="40">
        <v>0.244907120451622</v>
      </c>
      <c r="I415" s="40">
        <v>-0.30789883171454768</v>
      </c>
      <c r="J415" s="40">
        <v>1.1917404809866028E-2</v>
      </c>
    </row>
    <row r="416" spans="1:10" ht="11.25" customHeight="1" x14ac:dyDescent="0.2">
      <c r="A416" s="49">
        <v>44593</v>
      </c>
      <c r="B416" s="39">
        <v>0</v>
      </c>
      <c r="C416" s="39">
        <v>0</v>
      </c>
      <c r="D416" s="39">
        <v>5988.3012549999994</v>
      </c>
      <c r="E416" s="39">
        <v>7454.8788717588841</v>
      </c>
      <c r="F416" s="39">
        <v>4362.5446342000005</v>
      </c>
      <c r="G416" s="39">
        <v>3019.3222380272514</v>
      </c>
      <c r="H416" s="40">
        <v>0.24490712045162222</v>
      </c>
      <c r="I416" s="40">
        <v>-0.30789883171454768</v>
      </c>
      <c r="J416" s="40">
        <v>1.191740480986625E-2</v>
      </c>
    </row>
    <row r="417" spans="1:10" ht="11.25" customHeight="1" x14ac:dyDescent="0.2">
      <c r="A417" s="49">
        <v>44621</v>
      </c>
      <c r="B417" s="39">
        <v>0</v>
      </c>
      <c r="C417" s="39">
        <v>0</v>
      </c>
      <c r="D417" s="39">
        <v>6143.5138200000001</v>
      </c>
      <c r="E417" s="39">
        <v>7648.1040991109448</v>
      </c>
      <c r="F417" s="39">
        <v>4475.618728800001</v>
      </c>
      <c r="G417" s="39">
        <v>3097.5809510027316</v>
      </c>
      <c r="H417" s="40">
        <v>0.244907120451622</v>
      </c>
      <c r="I417" s="40">
        <v>-0.30789883171454768</v>
      </c>
      <c r="J417" s="40">
        <v>1.191740480986625E-2</v>
      </c>
    </row>
    <row r="418" spans="1:10" ht="11.25" customHeight="1" x14ac:dyDescent="0.2">
      <c r="A418" s="49">
        <v>44652</v>
      </c>
      <c r="B418" s="39">
        <v>0</v>
      </c>
      <c r="C418" s="39">
        <v>0</v>
      </c>
      <c r="D418" s="39">
        <v>5460.7859450000005</v>
      </c>
      <c r="E418" s="39">
        <v>6798.1713061926393</v>
      </c>
      <c r="F418" s="39">
        <v>3978.2438138000007</v>
      </c>
      <c r="G418" s="39">
        <v>2753.3471912553541</v>
      </c>
      <c r="H418" s="40">
        <v>0.24490712045162177</v>
      </c>
      <c r="I418" s="40">
        <v>-0.30789883171454768</v>
      </c>
      <c r="J418" s="40">
        <v>1.1917404809866028E-2</v>
      </c>
    </row>
    <row r="419" spans="1:10" ht="11.25" customHeight="1" x14ac:dyDescent="0.2">
      <c r="A419" s="49">
        <v>44682</v>
      </c>
      <c r="B419" s="39">
        <v>0</v>
      </c>
      <c r="C419" s="39">
        <v>0</v>
      </c>
      <c r="D419" s="39">
        <v>5678.5674950000002</v>
      </c>
      <c r="E419" s="39">
        <v>7069.2891084906305</v>
      </c>
      <c r="F419" s="39">
        <v>4136.9001158000001</v>
      </c>
      <c r="G419" s="39">
        <v>2863.1534032254035</v>
      </c>
      <c r="H419" s="40">
        <v>0.244907120451622</v>
      </c>
      <c r="I419" s="40">
        <v>-0.30789883171454757</v>
      </c>
      <c r="J419" s="40">
        <v>1.1917404809866028E-2</v>
      </c>
    </row>
    <row r="420" spans="1:10" ht="11.25" customHeight="1" x14ac:dyDescent="0.2">
      <c r="A420" s="49">
        <v>44713</v>
      </c>
      <c r="B420" s="39">
        <v>0</v>
      </c>
      <c r="C420" s="39">
        <v>0</v>
      </c>
      <c r="D420" s="39">
        <v>5952.3500150000009</v>
      </c>
      <c r="E420" s="39">
        <v>7410.1229170938195</v>
      </c>
      <c r="F420" s="39">
        <v>4336.3537526000009</v>
      </c>
      <c r="G420" s="39">
        <v>3001.195498273466</v>
      </c>
      <c r="H420" s="40">
        <v>0.244907120451622</v>
      </c>
      <c r="I420" s="40">
        <v>-0.30789883171454768</v>
      </c>
      <c r="J420" s="40">
        <v>1.1917404809866028E-2</v>
      </c>
    </row>
    <row r="421" spans="1:10" ht="11.25" customHeight="1" x14ac:dyDescent="0.2">
      <c r="A421" s="49">
        <v>44743</v>
      </c>
      <c r="B421" s="39">
        <v>0</v>
      </c>
      <c r="C421" s="39">
        <v>0</v>
      </c>
      <c r="D421" s="39">
        <v>5811.3105349999996</v>
      </c>
      <c r="E421" s="39">
        <v>7234.5418641770248</v>
      </c>
      <c r="F421" s="39">
        <v>4233.6049094</v>
      </c>
      <c r="G421" s="39">
        <v>2930.0829038547668</v>
      </c>
      <c r="H421" s="40">
        <v>0.244907120451622</v>
      </c>
      <c r="I421" s="40">
        <v>-0.30789883171454757</v>
      </c>
      <c r="J421" s="40">
        <v>1.191740480986625E-2</v>
      </c>
    </row>
    <row r="422" spans="1:10" ht="11.25" customHeight="1" x14ac:dyDescent="0.2">
      <c r="A422" s="49">
        <v>44774</v>
      </c>
      <c r="B422" s="39">
        <v>0</v>
      </c>
      <c r="C422" s="39">
        <v>0</v>
      </c>
      <c r="D422" s="39">
        <v>6147.3163549999999</v>
      </c>
      <c r="E422" s="39">
        <v>7652.8379020082111</v>
      </c>
      <c r="F422" s="39">
        <v>4478.3889182000003</v>
      </c>
      <c r="G422" s="39">
        <v>3099.4982023228436</v>
      </c>
      <c r="H422" s="40">
        <v>0.244907120451622</v>
      </c>
      <c r="I422" s="40">
        <v>-0.30789883171454757</v>
      </c>
      <c r="J422" s="40">
        <v>1.1917404809866028E-2</v>
      </c>
    </row>
    <row r="423" spans="1:10" ht="11.25" customHeight="1" x14ac:dyDescent="0.2">
      <c r="A423" s="42" t="s">
        <v>43</v>
      </c>
      <c r="B423" s="39">
        <v>0</v>
      </c>
      <c r="C423" s="39">
        <v>0</v>
      </c>
      <c r="D423" s="39">
        <v>164608.56123000014</v>
      </c>
      <c r="E423" s="39">
        <v>204924.81663450837</v>
      </c>
      <c r="F423" s="39">
        <v>119920.32354999996</v>
      </c>
      <c r="G423" s="39">
        <v>82997.197758928276</v>
      </c>
      <c r="H423" s="40">
        <v>0.24492198402837717</v>
      </c>
      <c r="I423" s="40">
        <v>-0.30789714952425751</v>
      </c>
      <c r="J423" s="40">
        <v>1.1925431107144613E-2</v>
      </c>
    </row>
    <row r="424" spans="1:10" ht="11.25" customHeight="1" x14ac:dyDescent="0.2">
      <c r="A424" s="43" t="s">
        <v>23</v>
      </c>
      <c r="B424" s="39">
        <v>0</v>
      </c>
      <c r="C424" s="39">
        <v>0</v>
      </c>
      <c r="D424" s="39">
        <v>164608.56123000014</v>
      </c>
      <c r="E424" s="39">
        <v>204924.81663450837</v>
      </c>
      <c r="F424" s="39">
        <v>119920.32354999996</v>
      </c>
      <c r="G424" s="39">
        <v>82997.197758928276</v>
      </c>
      <c r="H424" s="40">
        <v>0.24492198402837717</v>
      </c>
      <c r="I424" s="40">
        <v>-0.30789714952425751</v>
      </c>
      <c r="J424" s="40">
        <v>1.1925431107144613E-2</v>
      </c>
    </row>
    <row r="425" spans="1:10" ht="11.25" customHeight="1" x14ac:dyDescent="0.2">
      <c r="A425" s="44" t="s">
        <v>44</v>
      </c>
      <c r="B425" s="39">
        <v>0</v>
      </c>
      <c r="C425" s="39">
        <v>0</v>
      </c>
      <c r="D425" s="39">
        <v>164608.56123000014</v>
      </c>
      <c r="E425" s="39">
        <v>204924.81663450837</v>
      </c>
      <c r="F425" s="39">
        <v>119920.32354999996</v>
      </c>
      <c r="G425" s="39">
        <v>82997.197758928276</v>
      </c>
      <c r="H425" s="40">
        <v>0.24492198402837717</v>
      </c>
      <c r="I425" s="40">
        <v>-0.30789714952425751</v>
      </c>
      <c r="J425" s="40">
        <v>1.1925431107144613E-2</v>
      </c>
    </row>
    <row r="426" spans="1:10" ht="11.25" customHeight="1" x14ac:dyDescent="0.2">
      <c r="A426" s="45" t="s">
        <v>45</v>
      </c>
      <c r="B426" s="39">
        <v>0</v>
      </c>
      <c r="C426" s="39">
        <v>0</v>
      </c>
      <c r="D426" s="39">
        <v>159004.27187999999</v>
      </c>
      <c r="E426" s="39">
        <v>197947.99691762216</v>
      </c>
      <c r="F426" s="39">
        <v>115837.43429999998</v>
      </c>
      <c r="G426" s="39">
        <v>80171.495653733466</v>
      </c>
      <c r="H426" s="40">
        <v>0.24492250791232117</v>
      </c>
      <c r="I426" s="40">
        <v>-0.30789648322059326</v>
      </c>
      <c r="J426" s="40">
        <v>1.1926088063246798E-2</v>
      </c>
    </row>
    <row r="427" spans="1:10" ht="11.25" customHeight="1" x14ac:dyDescent="0.2">
      <c r="A427" s="46" t="s">
        <v>25</v>
      </c>
      <c r="B427" s="39">
        <v>0</v>
      </c>
      <c r="C427" s="39">
        <v>0</v>
      </c>
      <c r="D427" s="39">
        <v>159004.27187999999</v>
      </c>
      <c r="E427" s="39">
        <v>197947.99691762216</v>
      </c>
      <c r="F427" s="39">
        <v>115837.43429999998</v>
      </c>
      <c r="G427" s="39">
        <v>80171.495653733466</v>
      </c>
      <c r="H427" s="40">
        <v>0.24492250791232117</v>
      </c>
      <c r="I427" s="40">
        <v>-0.30789648322059326</v>
      </c>
      <c r="J427" s="40">
        <v>1.1926088063246798E-2</v>
      </c>
    </row>
    <row r="428" spans="1:10" ht="11.25" customHeight="1" x14ac:dyDescent="0.2">
      <c r="A428" s="47" t="s">
        <v>25</v>
      </c>
      <c r="B428" s="39">
        <v>0</v>
      </c>
      <c r="C428" s="39">
        <v>0</v>
      </c>
      <c r="D428" s="39">
        <v>159004.27187999999</v>
      </c>
      <c r="E428" s="39">
        <v>197947.99691762216</v>
      </c>
      <c r="F428" s="39">
        <v>115837.43429999998</v>
      </c>
      <c r="G428" s="39">
        <v>80171.495653733466</v>
      </c>
      <c r="H428" s="40">
        <v>0.24492250791232117</v>
      </c>
      <c r="I428" s="40">
        <v>-0.30789648322059326</v>
      </c>
      <c r="J428" s="40">
        <v>1.1926088063246798E-2</v>
      </c>
    </row>
    <row r="429" spans="1:10" ht="11.25" customHeight="1" x14ac:dyDescent="0.2">
      <c r="A429" s="48" t="s">
        <v>25</v>
      </c>
      <c r="B429" s="39">
        <v>0</v>
      </c>
      <c r="C429" s="39">
        <v>0</v>
      </c>
      <c r="D429" s="39">
        <v>159004.27187999999</v>
      </c>
      <c r="E429" s="39">
        <v>197947.99691762216</v>
      </c>
      <c r="F429" s="39">
        <v>115837.43429999998</v>
      </c>
      <c r="G429" s="39">
        <v>80171.495653733466</v>
      </c>
      <c r="H429" s="40">
        <v>0.24492250791232117</v>
      </c>
      <c r="I429" s="40">
        <v>-0.30789648322059326</v>
      </c>
      <c r="J429" s="40">
        <v>1.1926088063246798E-2</v>
      </c>
    </row>
    <row r="430" spans="1:10" ht="11.25" customHeight="1" x14ac:dyDescent="0.2">
      <c r="A430" s="49">
        <v>44440</v>
      </c>
      <c r="B430" s="39">
        <v>0</v>
      </c>
      <c r="C430" s="39">
        <v>0</v>
      </c>
      <c r="D430" s="39">
        <v>12858.88176</v>
      </c>
      <c r="E430" s="39">
        <v>16008.311329607206</v>
      </c>
      <c r="F430" s="39">
        <v>9367.9236000000001</v>
      </c>
      <c r="G430" s="39">
        <v>6483.5728684807991</v>
      </c>
      <c r="H430" s="40">
        <v>0.2449225079123214</v>
      </c>
      <c r="I430" s="40">
        <v>-0.30789648322059338</v>
      </c>
      <c r="J430" s="40">
        <v>1.1926088063246798E-2</v>
      </c>
    </row>
    <row r="431" spans="1:10" ht="11.25" customHeight="1" x14ac:dyDescent="0.2">
      <c r="A431" s="49">
        <v>44470</v>
      </c>
      <c r="B431" s="39">
        <v>0</v>
      </c>
      <c r="C431" s="39">
        <v>0</v>
      </c>
      <c r="D431" s="39">
        <v>13245.80514</v>
      </c>
      <c r="E431" s="39">
        <v>16490.00095420672</v>
      </c>
      <c r="F431" s="39">
        <v>9649.8041499999999</v>
      </c>
      <c r="G431" s="39">
        <v>6678.6633884475132</v>
      </c>
      <c r="H431" s="40">
        <v>0.24492250791232162</v>
      </c>
      <c r="I431" s="40">
        <v>-0.30789648322059338</v>
      </c>
      <c r="J431" s="40">
        <v>1.1926088063246798E-2</v>
      </c>
    </row>
    <row r="432" spans="1:10" ht="11.25" customHeight="1" x14ac:dyDescent="0.2">
      <c r="A432" s="49">
        <v>44501</v>
      </c>
      <c r="B432" s="39">
        <v>0</v>
      </c>
      <c r="C432" s="39">
        <v>0</v>
      </c>
      <c r="D432" s="39">
        <v>13165.71018</v>
      </c>
      <c r="E432" s="39">
        <v>16390.28893573238</v>
      </c>
      <c r="F432" s="39">
        <v>9591.4535500000002</v>
      </c>
      <c r="G432" s="39">
        <v>6638.2787329813245</v>
      </c>
      <c r="H432" s="40">
        <v>0.2449225079123214</v>
      </c>
      <c r="I432" s="40">
        <v>-0.30789648322059338</v>
      </c>
      <c r="J432" s="40">
        <v>1.1926088063246798E-2</v>
      </c>
    </row>
    <row r="433" spans="1:10" ht="11.25" customHeight="1" x14ac:dyDescent="0.2">
      <c r="A433" s="49">
        <v>44531</v>
      </c>
      <c r="B433" s="39">
        <v>0</v>
      </c>
      <c r="C433" s="39">
        <v>0</v>
      </c>
      <c r="D433" s="39">
        <v>13502.06856</v>
      </c>
      <c r="E433" s="39">
        <v>16809.029053719307</v>
      </c>
      <c r="F433" s="39">
        <v>9836.4966000000004</v>
      </c>
      <c r="G433" s="39">
        <v>6807.8738896486757</v>
      </c>
      <c r="H433" s="40">
        <v>0.2449225079123214</v>
      </c>
      <c r="I433" s="40">
        <v>-0.30789648322059349</v>
      </c>
      <c r="J433" s="40">
        <v>1.1926088063246798E-2</v>
      </c>
    </row>
    <row r="434" spans="1:10" ht="11.25" customHeight="1" x14ac:dyDescent="0.2">
      <c r="A434" s="49">
        <v>44562</v>
      </c>
      <c r="B434" s="39">
        <v>0</v>
      </c>
      <c r="C434" s="39">
        <v>0</v>
      </c>
      <c r="D434" s="39">
        <v>13439.36796</v>
      </c>
      <c r="E434" s="39">
        <v>16730.971665519697</v>
      </c>
      <c r="F434" s="39">
        <v>9790.8180999999986</v>
      </c>
      <c r="G434" s="39">
        <v>6776.2596391574671</v>
      </c>
      <c r="H434" s="40">
        <v>0.2449225079123214</v>
      </c>
      <c r="I434" s="40">
        <v>-0.30789648322059338</v>
      </c>
      <c r="J434" s="40">
        <v>1.1926088063246576E-2</v>
      </c>
    </row>
    <row r="435" spans="1:10" ht="11.25" customHeight="1" x14ac:dyDescent="0.2">
      <c r="A435" s="49">
        <v>44593</v>
      </c>
      <c r="B435" s="39">
        <v>0</v>
      </c>
      <c r="C435" s="39">
        <v>0</v>
      </c>
      <c r="D435" s="39">
        <v>12208.615859999998</v>
      </c>
      <c r="E435" s="39">
        <v>15198.780674569341</v>
      </c>
      <c r="F435" s="39">
        <v>8894.1933499999996</v>
      </c>
      <c r="G435" s="39">
        <v>6155.702496451011</v>
      </c>
      <c r="H435" s="40">
        <v>0.24492250791232162</v>
      </c>
      <c r="I435" s="40">
        <v>-0.30789648322059338</v>
      </c>
      <c r="J435" s="40">
        <v>1.1926088063246576E-2</v>
      </c>
    </row>
    <row r="436" spans="1:10" ht="11.25" customHeight="1" x14ac:dyDescent="0.2">
      <c r="A436" s="49">
        <v>44621</v>
      </c>
      <c r="B436" s="39">
        <v>0</v>
      </c>
      <c r="C436" s="39">
        <v>0</v>
      </c>
      <c r="D436" s="39">
        <v>13525.935239999999</v>
      </c>
      <c r="E436" s="39">
        <v>16838.741220840446</v>
      </c>
      <c r="F436" s="39">
        <v>9853.8838999999989</v>
      </c>
      <c r="G436" s="39">
        <v>6819.9077011259742</v>
      </c>
      <c r="H436" s="40">
        <v>0.2449225079123214</v>
      </c>
      <c r="I436" s="40">
        <v>-0.30789648322059338</v>
      </c>
      <c r="J436" s="40">
        <v>1.1926088063246798E-2</v>
      </c>
    </row>
    <row r="437" spans="1:10" ht="11.25" customHeight="1" x14ac:dyDescent="0.2">
      <c r="A437" s="49">
        <v>44652</v>
      </c>
      <c r="B437" s="39">
        <v>0</v>
      </c>
      <c r="C437" s="39">
        <v>0</v>
      </c>
      <c r="D437" s="39">
        <v>13368.57696</v>
      </c>
      <c r="E437" s="39">
        <v>16642.842356262077</v>
      </c>
      <c r="F437" s="39">
        <v>9739.2456000000002</v>
      </c>
      <c r="G437" s="39">
        <v>6740.5661305383619</v>
      </c>
      <c r="H437" s="40">
        <v>0.2449225079123214</v>
      </c>
      <c r="I437" s="40">
        <v>-0.30789648322059338</v>
      </c>
      <c r="J437" s="40">
        <v>1.1926088063246798E-2</v>
      </c>
    </row>
    <row r="438" spans="1:10" ht="11.25" customHeight="1" x14ac:dyDescent="0.2">
      <c r="A438" s="49">
        <v>44682</v>
      </c>
      <c r="B438" s="39">
        <v>0</v>
      </c>
      <c r="C438" s="39">
        <v>0</v>
      </c>
      <c r="D438" s="39">
        <v>13554.251639999999</v>
      </c>
      <c r="E438" s="39">
        <v>16873.992944543494</v>
      </c>
      <c r="F438" s="39">
        <v>9874.5128999999997</v>
      </c>
      <c r="G438" s="39">
        <v>6834.1851045736166</v>
      </c>
      <c r="H438" s="40">
        <v>0.2449225079123214</v>
      </c>
      <c r="I438" s="40">
        <v>-0.30789648322059338</v>
      </c>
      <c r="J438" s="40">
        <v>1.1926088063246798E-2</v>
      </c>
    </row>
    <row r="439" spans="1:10" ht="11.25" customHeight="1" x14ac:dyDescent="0.2">
      <c r="A439" s="49">
        <v>44713</v>
      </c>
      <c r="B439" s="39">
        <v>0</v>
      </c>
      <c r="C439" s="39">
        <v>0</v>
      </c>
      <c r="D439" s="39">
        <v>13098.155339999999</v>
      </c>
      <c r="E439" s="39">
        <v>16306.188394897965</v>
      </c>
      <c r="F439" s="39">
        <v>9542.2386499999993</v>
      </c>
      <c r="G439" s="39">
        <v>6604.2169276133773</v>
      </c>
      <c r="H439" s="40">
        <v>0.2449225079123214</v>
      </c>
      <c r="I439" s="40">
        <v>-0.30789648322059338</v>
      </c>
      <c r="J439" s="40">
        <v>1.1926088063246798E-2</v>
      </c>
    </row>
    <row r="440" spans="1:10" ht="11.25" customHeight="1" x14ac:dyDescent="0.2">
      <c r="A440" s="49">
        <v>44743</v>
      </c>
      <c r="B440" s="39">
        <v>0</v>
      </c>
      <c r="C440" s="39">
        <v>0</v>
      </c>
      <c r="D440" s="39">
        <v>13525.328459999999</v>
      </c>
      <c r="E440" s="39">
        <v>16837.985826761094</v>
      </c>
      <c r="F440" s="39">
        <v>9853.4418499999992</v>
      </c>
      <c r="G440" s="39">
        <v>6819.6017567663812</v>
      </c>
      <c r="H440" s="40">
        <v>0.2449225079123214</v>
      </c>
      <c r="I440" s="40">
        <v>-0.30789648322059349</v>
      </c>
      <c r="J440" s="40">
        <v>1.1926088063246576E-2</v>
      </c>
    </row>
    <row r="441" spans="1:10" ht="11.25" customHeight="1" x14ac:dyDescent="0.2">
      <c r="A441" s="49">
        <v>44774</v>
      </c>
      <c r="B441" s="39">
        <v>0</v>
      </c>
      <c r="C441" s="39">
        <v>0</v>
      </c>
      <c r="D441" s="39">
        <v>13511.574779999999</v>
      </c>
      <c r="E441" s="39">
        <v>16820.863560962473</v>
      </c>
      <c r="F441" s="39">
        <v>9843.4220499999992</v>
      </c>
      <c r="G441" s="39">
        <v>6812.6670179489556</v>
      </c>
      <c r="H441" s="40">
        <v>0.24492250791232162</v>
      </c>
      <c r="I441" s="40">
        <v>-0.30789648322059338</v>
      </c>
      <c r="J441" s="40">
        <v>1.1926088063246798E-2</v>
      </c>
    </row>
    <row r="442" spans="1:10" ht="11.25" customHeight="1" x14ac:dyDescent="0.2">
      <c r="A442" s="45" t="s">
        <v>46</v>
      </c>
      <c r="B442" s="39">
        <v>0</v>
      </c>
      <c r="C442" s="39">
        <v>0</v>
      </c>
      <c r="D442" s="39">
        <v>5604.28935</v>
      </c>
      <c r="E442" s="39">
        <v>6976.8197168861916</v>
      </c>
      <c r="F442" s="39">
        <v>4082.8892500000002</v>
      </c>
      <c r="G442" s="39">
        <v>2825.7021051948213</v>
      </c>
      <c r="H442" s="40">
        <v>0.24490712045162177</v>
      </c>
      <c r="I442" s="40">
        <v>-0.30791605351655782</v>
      </c>
      <c r="J442" s="40">
        <v>1.1906792146994638E-2</v>
      </c>
    </row>
    <row r="443" spans="1:10" ht="11.25" customHeight="1" x14ac:dyDescent="0.2">
      <c r="A443" s="46" t="s">
        <v>25</v>
      </c>
      <c r="B443" s="39">
        <v>0</v>
      </c>
      <c r="C443" s="39">
        <v>0</v>
      </c>
      <c r="D443" s="39">
        <v>5604.28935</v>
      </c>
      <c r="E443" s="39">
        <v>6976.8197168861916</v>
      </c>
      <c r="F443" s="39">
        <v>4082.8892500000002</v>
      </c>
      <c r="G443" s="39">
        <v>2825.7021051948213</v>
      </c>
      <c r="H443" s="40">
        <v>0.24490712045162177</v>
      </c>
      <c r="I443" s="40">
        <v>-0.30791605351655782</v>
      </c>
      <c r="J443" s="40">
        <v>1.1906792146994638E-2</v>
      </c>
    </row>
    <row r="444" spans="1:10" ht="11.25" customHeight="1" x14ac:dyDescent="0.2">
      <c r="A444" s="47" t="s">
        <v>25</v>
      </c>
      <c r="B444" s="39">
        <v>0</v>
      </c>
      <c r="C444" s="39">
        <v>0</v>
      </c>
      <c r="D444" s="39">
        <v>5604.28935</v>
      </c>
      <c r="E444" s="39">
        <v>6976.8197168861916</v>
      </c>
      <c r="F444" s="39">
        <v>4082.8892500000002</v>
      </c>
      <c r="G444" s="39">
        <v>2825.7021051948213</v>
      </c>
      <c r="H444" s="40">
        <v>0.24490712045162177</v>
      </c>
      <c r="I444" s="40">
        <v>-0.30791605351655782</v>
      </c>
      <c r="J444" s="40">
        <v>1.1906792146994638E-2</v>
      </c>
    </row>
    <row r="445" spans="1:10" ht="11.25" customHeight="1" x14ac:dyDescent="0.2">
      <c r="A445" s="48" t="s">
        <v>25</v>
      </c>
      <c r="B445" s="39">
        <v>0</v>
      </c>
      <c r="C445" s="39">
        <v>0</v>
      </c>
      <c r="D445" s="39">
        <v>5604.28935</v>
      </c>
      <c r="E445" s="39">
        <v>6976.8197168861916</v>
      </c>
      <c r="F445" s="39">
        <v>4082.8892500000002</v>
      </c>
      <c r="G445" s="39">
        <v>2825.7021051948213</v>
      </c>
      <c r="H445" s="40">
        <v>0.24490712045162177</v>
      </c>
      <c r="I445" s="40">
        <v>-0.30791605351655782</v>
      </c>
      <c r="J445" s="40">
        <v>1.1906792146994638E-2</v>
      </c>
    </row>
    <row r="446" spans="1:10" ht="11.25" customHeight="1" x14ac:dyDescent="0.2">
      <c r="A446" s="49">
        <v>44440</v>
      </c>
      <c r="B446" s="39">
        <v>0</v>
      </c>
      <c r="C446" s="39">
        <v>0</v>
      </c>
      <c r="D446" s="39">
        <v>460.71720000000005</v>
      </c>
      <c r="E446" s="39">
        <v>573.55012279453399</v>
      </c>
      <c r="F446" s="39">
        <v>335.64600000000002</v>
      </c>
      <c r="G446" s="39">
        <v>232.29520830138142</v>
      </c>
      <c r="H446" s="40">
        <v>0.24490712045162177</v>
      </c>
      <c r="I446" s="40">
        <v>-0.30791605351655793</v>
      </c>
      <c r="J446" s="40">
        <v>1.1906792146994416E-2</v>
      </c>
    </row>
    <row r="447" spans="1:10" ht="11.25" customHeight="1" x14ac:dyDescent="0.2">
      <c r="A447" s="49">
        <v>44470</v>
      </c>
      <c r="B447" s="39">
        <v>0</v>
      </c>
      <c r="C447" s="39">
        <v>0</v>
      </c>
      <c r="D447" s="39">
        <v>475.94204999999999</v>
      </c>
      <c r="E447" s="39">
        <v>592.50364696734187</v>
      </c>
      <c r="F447" s="39">
        <v>346.73775000000001</v>
      </c>
      <c r="G447" s="39">
        <v>239.97163041478916</v>
      </c>
      <c r="H447" s="40">
        <v>0.244907120451622</v>
      </c>
      <c r="I447" s="40">
        <v>-0.30791605351655782</v>
      </c>
      <c r="J447" s="40">
        <v>1.1906792146994416E-2</v>
      </c>
    </row>
    <row r="448" spans="1:10" ht="11.25" customHeight="1" x14ac:dyDescent="0.2">
      <c r="A448" s="49">
        <v>44501</v>
      </c>
      <c r="B448" s="39">
        <v>0</v>
      </c>
      <c r="C448" s="39">
        <v>0</v>
      </c>
      <c r="D448" s="39">
        <v>460.71720000000005</v>
      </c>
      <c r="E448" s="39">
        <v>573.55012279453399</v>
      </c>
      <c r="F448" s="39">
        <v>335.64600000000002</v>
      </c>
      <c r="G448" s="39">
        <v>232.29520830138142</v>
      </c>
      <c r="H448" s="40">
        <v>0.24490712045162177</v>
      </c>
      <c r="I448" s="40">
        <v>-0.30791605351655793</v>
      </c>
      <c r="J448" s="40">
        <v>1.1906792146994416E-2</v>
      </c>
    </row>
    <row r="449" spans="1:10" ht="11.25" customHeight="1" x14ac:dyDescent="0.2">
      <c r="A449" s="49">
        <v>44531</v>
      </c>
      <c r="B449" s="39">
        <v>0</v>
      </c>
      <c r="C449" s="39">
        <v>0</v>
      </c>
      <c r="D449" s="39">
        <v>475.94204999999999</v>
      </c>
      <c r="E449" s="39">
        <v>592.50364696734187</v>
      </c>
      <c r="F449" s="39">
        <v>346.73775000000001</v>
      </c>
      <c r="G449" s="39">
        <v>239.97163041478916</v>
      </c>
      <c r="H449" s="40">
        <v>0.244907120451622</v>
      </c>
      <c r="I449" s="40">
        <v>-0.30791605351655782</v>
      </c>
      <c r="J449" s="40">
        <v>1.1906792146994416E-2</v>
      </c>
    </row>
    <row r="450" spans="1:10" ht="11.25" customHeight="1" x14ac:dyDescent="0.2">
      <c r="A450" s="49">
        <v>44562</v>
      </c>
      <c r="B450" s="39">
        <v>0</v>
      </c>
      <c r="C450" s="39">
        <v>0</v>
      </c>
      <c r="D450" s="39">
        <v>475.94204999999999</v>
      </c>
      <c r="E450" s="39">
        <v>592.50364696734187</v>
      </c>
      <c r="F450" s="39">
        <v>346.73775000000001</v>
      </c>
      <c r="G450" s="39">
        <v>239.97163041478916</v>
      </c>
      <c r="H450" s="40">
        <v>0.244907120451622</v>
      </c>
      <c r="I450" s="40">
        <v>-0.30791605351655782</v>
      </c>
      <c r="J450" s="40">
        <v>1.1906792146994416E-2</v>
      </c>
    </row>
    <row r="451" spans="1:10" ht="11.25" customHeight="1" x14ac:dyDescent="0.2">
      <c r="A451" s="49">
        <v>44593</v>
      </c>
      <c r="B451" s="39">
        <v>0</v>
      </c>
      <c r="C451" s="39">
        <v>0</v>
      </c>
      <c r="D451" s="39">
        <v>429.82620000000003</v>
      </c>
      <c r="E451" s="39">
        <v>535.09369693666292</v>
      </c>
      <c r="F451" s="39">
        <v>313.14100000000002</v>
      </c>
      <c r="G451" s="39">
        <v>216.71985908577156</v>
      </c>
      <c r="H451" s="40">
        <v>0.24490712045162177</v>
      </c>
      <c r="I451" s="40">
        <v>-0.30791605351655793</v>
      </c>
      <c r="J451" s="40">
        <v>1.1906792146994416E-2</v>
      </c>
    </row>
    <row r="452" spans="1:10" ht="11.25" customHeight="1" x14ac:dyDescent="0.2">
      <c r="A452" s="49">
        <v>44621</v>
      </c>
      <c r="B452" s="39">
        <v>0</v>
      </c>
      <c r="C452" s="39">
        <v>0</v>
      </c>
      <c r="D452" s="39">
        <v>475.94204999999999</v>
      </c>
      <c r="E452" s="39">
        <v>592.50364696734187</v>
      </c>
      <c r="F452" s="39">
        <v>346.73775000000001</v>
      </c>
      <c r="G452" s="39">
        <v>239.97163041478916</v>
      </c>
      <c r="H452" s="40">
        <v>0.244907120451622</v>
      </c>
      <c r="I452" s="40">
        <v>-0.30791605351655782</v>
      </c>
      <c r="J452" s="40">
        <v>1.1906792146994416E-2</v>
      </c>
    </row>
    <row r="453" spans="1:10" ht="11.25" customHeight="1" x14ac:dyDescent="0.2">
      <c r="A453" s="49">
        <v>44652</v>
      </c>
      <c r="B453" s="39">
        <v>0</v>
      </c>
      <c r="C453" s="39">
        <v>0</v>
      </c>
      <c r="D453" s="39">
        <v>460.71720000000005</v>
      </c>
      <c r="E453" s="39">
        <v>573.55012279453399</v>
      </c>
      <c r="F453" s="39">
        <v>335.64600000000002</v>
      </c>
      <c r="G453" s="39">
        <v>232.29520830138142</v>
      </c>
      <c r="H453" s="40">
        <v>0.24490712045162177</v>
      </c>
      <c r="I453" s="40">
        <v>-0.30791605351655793</v>
      </c>
      <c r="J453" s="40">
        <v>1.1906792146994416E-2</v>
      </c>
    </row>
    <row r="454" spans="1:10" ht="11.25" customHeight="1" x14ac:dyDescent="0.2">
      <c r="A454" s="49">
        <v>44682</v>
      </c>
      <c r="B454" s="39">
        <v>0</v>
      </c>
      <c r="C454" s="39">
        <v>0</v>
      </c>
      <c r="D454" s="39">
        <v>475.94204999999999</v>
      </c>
      <c r="E454" s="39">
        <v>592.50364696734187</v>
      </c>
      <c r="F454" s="39">
        <v>346.73775000000001</v>
      </c>
      <c r="G454" s="39">
        <v>239.97163041478916</v>
      </c>
      <c r="H454" s="40">
        <v>0.244907120451622</v>
      </c>
      <c r="I454" s="40">
        <v>-0.30791605351655782</v>
      </c>
      <c r="J454" s="40">
        <v>1.1906792146994416E-2</v>
      </c>
    </row>
    <row r="455" spans="1:10" ht="11.25" customHeight="1" x14ac:dyDescent="0.2">
      <c r="A455" s="49">
        <v>44713</v>
      </c>
      <c r="B455" s="39">
        <v>0</v>
      </c>
      <c r="C455" s="39">
        <v>0</v>
      </c>
      <c r="D455" s="39">
        <v>460.71720000000005</v>
      </c>
      <c r="E455" s="39">
        <v>573.55012279453399</v>
      </c>
      <c r="F455" s="39">
        <v>335.64600000000002</v>
      </c>
      <c r="G455" s="39">
        <v>232.29520830138142</v>
      </c>
      <c r="H455" s="40">
        <v>0.24490712045162177</v>
      </c>
      <c r="I455" s="40">
        <v>-0.30791605351655793</v>
      </c>
      <c r="J455" s="40">
        <v>1.1906792146994416E-2</v>
      </c>
    </row>
    <row r="456" spans="1:10" ht="11.25" customHeight="1" x14ac:dyDescent="0.2">
      <c r="A456" s="49">
        <v>44743</v>
      </c>
      <c r="B456" s="39">
        <v>0</v>
      </c>
      <c r="C456" s="39">
        <v>0</v>
      </c>
      <c r="D456" s="39">
        <v>475.94204999999999</v>
      </c>
      <c r="E456" s="39">
        <v>592.50364696734187</v>
      </c>
      <c r="F456" s="39">
        <v>346.73775000000001</v>
      </c>
      <c r="G456" s="39">
        <v>239.97163041478916</v>
      </c>
      <c r="H456" s="40">
        <v>0.244907120451622</v>
      </c>
      <c r="I456" s="40">
        <v>-0.30791605351655782</v>
      </c>
      <c r="J456" s="40">
        <v>1.1906792146994416E-2</v>
      </c>
    </row>
    <row r="457" spans="1:10" ht="11.25" customHeight="1" x14ac:dyDescent="0.2">
      <c r="A457" s="49">
        <v>44774</v>
      </c>
      <c r="B457" s="39">
        <v>0</v>
      </c>
      <c r="C457" s="39">
        <v>0</v>
      </c>
      <c r="D457" s="39">
        <v>475.94204999999999</v>
      </c>
      <c r="E457" s="39">
        <v>592.50364696734187</v>
      </c>
      <c r="F457" s="39">
        <v>346.73775000000001</v>
      </c>
      <c r="G457" s="39">
        <v>239.97163041478916</v>
      </c>
      <c r="H457" s="40">
        <v>0.244907120451622</v>
      </c>
      <c r="I457" s="40">
        <v>-0.30791605351655782</v>
      </c>
      <c r="J457" s="40">
        <v>1.1906792146994416E-2</v>
      </c>
    </row>
    <row r="458" spans="1:10" ht="11.25" customHeight="1" x14ac:dyDescent="0.2">
      <c r="A458" s="41" t="s">
        <v>56</v>
      </c>
      <c r="B458" s="39">
        <v>155771.6</v>
      </c>
      <c r="C458" s="39">
        <v>204211.859833703</v>
      </c>
      <c r="D458" s="39">
        <v>556000.17845474998</v>
      </c>
      <c r="E458" s="39">
        <v>801693.11890229047</v>
      </c>
      <c r="F458" s="39">
        <v>0</v>
      </c>
      <c r="G458" s="39">
        <v>0</v>
      </c>
      <c r="H458" s="40">
        <v>0.41324088589154795</v>
      </c>
      <c r="I458" s="40">
        <v>0</v>
      </c>
      <c r="J458" s="40">
        <v>0.41324088589154795</v>
      </c>
    </row>
    <row r="459" spans="1:10" ht="11.25" customHeight="1" x14ac:dyDescent="0.2">
      <c r="A459" s="42" t="s">
        <v>35</v>
      </c>
      <c r="B459" s="39">
        <v>155771.6</v>
      </c>
      <c r="C459" s="39">
        <v>204211.859833703</v>
      </c>
      <c r="D459" s="39">
        <v>556000.17845474998</v>
      </c>
      <c r="E459" s="39">
        <v>801693.11890229047</v>
      </c>
      <c r="F459" s="39">
        <v>0</v>
      </c>
      <c r="G459" s="39">
        <v>0</v>
      </c>
      <c r="H459" s="40">
        <v>0.41324088589154795</v>
      </c>
      <c r="I459" s="40">
        <v>0</v>
      </c>
      <c r="J459" s="40">
        <v>0.41324088589154795</v>
      </c>
    </row>
    <row r="460" spans="1:10" ht="11.25" customHeight="1" x14ac:dyDescent="0.2">
      <c r="A460" s="43" t="s">
        <v>54</v>
      </c>
      <c r="B460" s="39">
        <v>52873.560000000012</v>
      </c>
      <c r="C460" s="39">
        <v>64823.90707138578</v>
      </c>
      <c r="D460" s="39">
        <v>32006.6852</v>
      </c>
      <c r="E460" s="39">
        <v>56891.784884151544</v>
      </c>
      <c r="F460" s="39">
        <v>0</v>
      </c>
      <c r="G460" s="39">
        <v>0</v>
      </c>
      <c r="H460" s="40">
        <v>0.43396960822560549</v>
      </c>
      <c r="I460" s="40">
        <v>0</v>
      </c>
      <c r="J460" s="40">
        <v>0.43396960822560549</v>
      </c>
    </row>
    <row r="461" spans="1:10" ht="11.25" customHeight="1" x14ac:dyDescent="0.2">
      <c r="A461" s="44" t="s">
        <v>34</v>
      </c>
      <c r="B461" s="39">
        <v>52873.560000000012</v>
      </c>
      <c r="C461" s="39">
        <v>64823.90707138578</v>
      </c>
      <c r="D461" s="39">
        <v>32006.6852</v>
      </c>
      <c r="E461" s="39">
        <v>56891.784884151544</v>
      </c>
      <c r="F461" s="39">
        <v>0</v>
      </c>
      <c r="G461" s="39">
        <v>0</v>
      </c>
      <c r="H461" s="40">
        <v>0.43396960822560549</v>
      </c>
      <c r="I461" s="40">
        <v>0</v>
      </c>
      <c r="J461" s="40">
        <v>0.43396960822560549</v>
      </c>
    </row>
    <row r="462" spans="1:10" ht="11.25" customHeight="1" x14ac:dyDescent="0.2">
      <c r="A462" s="45" t="s">
        <v>25</v>
      </c>
      <c r="B462" s="39">
        <v>52873.560000000012</v>
      </c>
      <c r="C462" s="39">
        <v>64823.90707138578</v>
      </c>
      <c r="D462" s="39">
        <v>32006.6852</v>
      </c>
      <c r="E462" s="39">
        <v>56891.784884151544</v>
      </c>
      <c r="F462" s="39">
        <v>0</v>
      </c>
      <c r="G462" s="39">
        <v>0</v>
      </c>
      <c r="H462" s="40">
        <v>0.43396960822560549</v>
      </c>
      <c r="I462" s="40">
        <v>0</v>
      </c>
      <c r="J462" s="40">
        <v>0.43396960822560549</v>
      </c>
    </row>
    <row r="463" spans="1:10" ht="11.25" customHeight="1" x14ac:dyDescent="0.2">
      <c r="A463" s="46" t="s">
        <v>55</v>
      </c>
      <c r="B463" s="39">
        <v>52873.560000000012</v>
      </c>
      <c r="C463" s="39">
        <v>64823.90707138578</v>
      </c>
      <c r="D463" s="39">
        <v>32006.6852</v>
      </c>
      <c r="E463" s="39">
        <v>56891.784884151544</v>
      </c>
      <c r="F463" s="39">
        <v>0</v>
      </c>
      <c r="G463" s="39">
        <v>0</v>
      </c>
      <c r="H463" s="40">
        <v>0.43396960822560549</v>
      </c>
      <c r="I463" s="40">
        <v>0</v>
      </c>
      <c r="J463" s="40">
        <v>0.43396960822560549</v>
      </c>
    </row>
    <row r="464" spans="1:10" ht="11.25" customHeight="1" x14ac:dyDescent="0.2">
      <c r="A464" s="47" t="s">
        <v>25</v>
      </c>
      <c r="B464" s="39">
        <v>52873.560000000012</v>
      </c>
      <c r="C464" s="39">
        <v>64823.90707138578</v>
      </c>
      <c r="D464" s="39">
        <v>32006.6852</v>
      </c>
      <c r="E464" s="39">
        <v>56891.784884151544</v>
      </c>
      <c r="F464" s="39">
        <v>0</v>
      </c>
      <c r="G464" s="39">
        <v>0</v>
      </c>
      <c r="H464" s="40">
        <v>0.43396960822560549</v>
      </c>
      <c r="I464" s="40">
        <v>0</v>
      </c>
      <c r="J464" s="40">
        <v>0.43396960822560549</v>
      </c>
    </row>
    <row r="465" spans="1:10" ht="11.25" customHeight="1" x14ac:dyDescent="0.2">
      <c r="A465" s="48" t="s">
        <v>38</v>
      </c>
      <c r="B465" s="39">
        <v>12063.599999999999</v>
      </c>
      <c r="C465" s="39">
        <v>16341.618430666802</v>
      </c>
      <c r="D465" s="39">
        <v>0</v>
      </c>
      <c r="E465" s="39">
        <v>0</v>
      </c>
      <c r="F465" s="39">
        <v>0</v>
      </c>
      <c r="G465" s="39">
        <v>0</v>
      </c>
      <c r="H465" s="40">
        <v>0.35462203908176693</v>
      </c>
      <c r="I465" s="40">
        <v>0</v>
      </c>
      <c r="J465" s="40">
        <v>0.35462203908176693</v>
      </c>
    </row>
    <row r="466" spans="1:10" ht="11.25" customHeight="1" x14ac:dyDescent="0.2">
      <c r="A466" s="49">
        <v>44440</v>
      </c>
      <c r="B466" s="39">
        <v>971.79</v>
      </c>
      <c r="C466" s="39">
        <v>1316.4081513592701</v>
      </c>
      <c r="D466" s="39">
        <v>0</v>
      </c>
      <c r="E466" s="39">
        <v>0</v>
      </c>
      <c r="F466" s="39">
        <v>0</v>
      </c>
      <c r="G466" s="39">
        <v>0</v>
      </c>
      <c r="H466" s="40">
        <v>0.3546220390817667</v>
      </c>
      <c r="I466" s="40">
        <v>0</v>
      </c>
      <c r="J466" s="40">
        <v>0.3546220390817667</v>
      </c>
    </row>
    <row r="467" spans="1:10" ht="11.25" customHeight="1" x14ac:dyDescent="0.2">
      <c r="A467" s="49">
        <v>44470</v>
      </c>
      <c r="B467" s="39">
        <v>971.79</v>
      </c>
      <c r="C467" s="39">
        <v>1316.4081513592701</v>
      </c>
      <c r="D467" s="39">
        <v>0</v>
      </c>
      <c r="E467" s="39">
        <v>0</v>
      </c>
      <c r="F467" s="39">
        <v>0</v>
      </c>
      <c r="G467" s="39">
        <v>0</v>
      </c>
      <c r="H467" s="40">
        <v>0.3546220390817667</v>
      </c>
      <c r="I467" s="40">
        <v>0</v>
      </c>
      <c r="J467" s="40">
        <v>0.3546220390817667</v>
      </c>
    </row>
    <row r="468" spans="1:10" ht="11.25" customHeight="1" x14ac:dyDescent="0.2">
      <c r="A468" s="49">
        <v>44501</v>
      </c>
      <c r="B468" s="39">
        <v>994.13</v>
      </c>
      <c r="C468" s="39">
        <v>1346.6704077123568</v>
      </c>
      <c r="D468" s="39">
        <v>0</v>
      </c>
      <c r="E468" s="39">
        <v>0</v>
      </c>
      <c r="F468" s="39">
        <v>0</v>
      </c>
      <c r="G468" s="39">
        <v>0</v>
      </c>
      <c r="H468" s="40">
        <v>0.3546220390817667</v>
      </c>
      <c r="I468" s="40">
        <v>0</v>
      </c>
      <c r="J468" s="40">
        <v>0.3546220390817667</v>
      </c>
    </row>
    <row r="469" spans="1:10" ht="11.25" customHeight="1" x14ac:dyDescent="0.2">
      <c r="A469" s="49">
        <v>44531</v>
      </c>
      <c r="B469" s="39">
        <v>994.13</v>
      </c>
      <c r="C469" s="39">
        <v>1346.6704077123568</v>
      </c>
      <c r="D469" s="39">
        <v>0</v>
      </c>
      <c r="E469" s="39">
        <v>0</v>
      </c>
      <c r="F469" s="39">
        <v>0</v>
      </c>
      <c r="G469" s="39">
        <v>0</v>
      </c>
      <c r="H469" s="40">
        <v>0.3546220390817667</v>
      </c>
      <c r="I469" s="40">
        <v>0</v>
      </c>
      <c r="J469" s="40">
        <v>0.3546220390817667</v>
      </c>
    </row>
    <row r="470" spans="1:10" ht="11.25" customHeight="1" x14ac:dyDescent="0.2">
      <c r="A470" s="49">
        <v>44562</v>
      </c>
      <c r="B470" s="39">
        <v>971.79</v>
      </c>
      <c r="C470" s="39">
        <v>1316.4081513592701</v>
      </c>
      <c r="D470" s="39">
        <v>0</v>
      </c>
      <c r="E470" s="39">
        <v>0</v>
      </c>
      <c r="F470" s="39">
        <v>0</v>
      </c>
      <c r="G470" s="39">
        <v>0</v>
      </c>
      <c r="H470" s="40">
        <v>0.3546220390817667</v>
      </c>
      <c r="I470" s="40">
        <v>0</v>
      </c>
      <c r="J470" s="40">
        <v>0.3546220390817667</v>
      </c>
    </row>
    <row r="471" spans="1:10" ht="11.25" customHeight="1" x14ac:dyDescent="0.2">
      <c r="A471" s="49">
        <v>44593</v>
      </c>
      <c r="B471" s="39">
        <v>1016.47</v>
      </c>
      <c r="C471" s="39">
        <v>1376.9326640654435</v>
      </c>
      <c r="D471" s="39">
        <v>0</v>
      </c>
      <c r="E471" s="39">
        <v>0</v>
      </c>
      <c r="F471" s="39">
        <v>0</v>
      </c>
      <c r="G471" s="39">
        <v>0</v>
      </c>
      <c r="H471" s="40">
        <v>0.3546220390817667</v>
      </c>
      <c r="I471" s="40">
        <v>0</v>
      </c>
      <c r="J471" s="40">
        <v>0.3546220390817667</v>
      </c>
    </row>
    <row r="472" spans="1:10" ht="11.25" customHeight="1" x14ac:dyDescent="0.2">
      <c r="A472" s="49">
        <v>44621</v>
      </c>
      <c r="B472" s="39">
        <v>1016.47</v>
      </c>
      <c r="C472" s="39">
        <v>1376.9326640654435</v>
      </c>
      <c r="D472" s="39">
        <v>0</v>
      </c>
      <c r="E472" s="39">
        <v>0</v>
      </c>
      <c r="F472" s="39">
        <v>0</v>
      </c>
      <c r="G472" s="39">
        <v>0</v>
      </c>
      <c r="H472" s="40">
        <v>0.3546220390817667</v>
      </c>
      <c r="I472" s="40">
        <v>0</v>
      </c>
      <c r="J472" s="40">
        <v>0.3546220390817667</v>
      </c>
    </row>
    <row r="473" spans="1:10" ht="11.25" customHeight="1" x14ac:dyDescent="0.2">
      <c r="A473" s="49">
        <v>44652</v>
      </c>
      <c r="B473" s="39">
        <v>1027.6400000000001</v>
      </c>
      <c r="C473" s="39">
        <v>1392.0637922419869</v>
      </c>
      <c r="D473" s="39">
        <v>0</v>
      </c>
      <c r="E473" s="39">
        <v>0</v>
      </c>
      <c r="F473" s="39">
        <v>0</v>
      </c>
      <c r="G473" s="39">
        <v>0</v>
      </c>
      <c r="H473" s="40">
        <v>0.3546220390817667</v>
      </c>
      <c r="I473" s="40">
        <v>0</v>
      </c>
      <c r="J473" s="40">
        <v>0.3546220390817667</v>
      </c>
    </row>
    <row r="474" spans="1:10" ht="11.25" customHeight="1" x14ac:dyDescent="0.2">
      <c r="A474" s="49">
        <v>44682</v>
      </c>
      <c r="B474" s="39">
        <v>971.79</v>
      </c>
      <c r="C474" s="39">
        <v>1316.4081513592701</v>
      </c>
      <c r="D474" s="39">
        <v>0</v>
      </c>
      <c r="E474" s="39">
        <v>0</v>
      </c>
      <c r="F474" s="39">
        <v>0</v>
      </c>
      <c r="G474" s="39">
        <v>0</v>
      </c>
      <c r="H474" s="40">
        <v>0.3546220390817667</v>
      </c>
      <c r="I474" s="40">
        <v>0</v>
      </c>
      <c r="J474" s="40">
        <v>0.3546220390817667</v>
      </c>
    </row>
    <row r="475" spans="1:10" ht="11.25" customHeight="1" x14ac:dyDescent="0.2">
      <c r="A475" s="49">
        <v>44713</v>
      </c>
      <c r="B475" s="39">
        <v>1049.98</v>
      </c>
      <c r="C475" s="39">
        <v>1422.3260485950734</v>
      </c>
      <c r="D475" s="39">
        <v>0</v>
      </c>
      <c r="E475" s="39">
        <v>0</v>
      </c>
      <c r="F475" s="39">
        <v>0</v>
      </c>
      <c r="G475" s="39">
        <v>0</v>
      </c>
      <c r="H475" s="40">
        <v>0.3546220390817667</v>
      </c>
      <c r="I475" s="40">
        <v>0</v>
      </c>
      <c r="J475" s="40">
        <v>0.3546220390817667</v>
      </c>
    </row>
    <row r="476" spans="1:10" ht="11.25" customHeight="1" x14ac:dyDescent="0.2">
      <c r="A476" s="49">
        <v>44743</v>
      </c>
      <c r="B476" s="39">
        <v>1105.83</v>
      </c>
      <c r="C476" s="39">
        <v>1497.9816894777903</v>
      </c>
      <c r="D476" s="39">
        <v>0</v>
      </c>
      <c r="E476" s="39">
        <v>0</v>
      </c>
      <c r="F476" s="39">
        <v>0</v>
      </c>
      <c r="G476" s="39">
        <v>0</v>
      </c>
      <c r="H476" s="40">
        <v>0.35462203908176693</v>
      </c>
      <c r="I476" s="40">
        <v>0</v>
      </c>
      <c r="J476" s="40">
        <v>0.35462203908176693</v>
      </c>
    </row>
    <row r="477" spans="1:10" ht="11.25" customHeight="1" x14ac:dyDescent="0.2">
      <c r="A477" s="49">
        <v>44774</v>
      </c>
      <c r="B477" s="39">
        <v>971.79</v>
      </c>
      <c r="C477" s="39">
        <v>1316.4081513592701</v>
      </c>
      <c r="D477" s="39">
        <v>0</v>
      </c>
      <c r="E477" s="39">
        <v>0</v>
      </c>
      <c r="F477" s="39">
        <v>0</v>
      </c>
      <c r="G477" s="39">
        <v>0</v>
      </c>
      <c r="H477" s="40">
        <v>0.3546220390817667</v>
      </c>
      <c r="I477" s="40">
        <v>0</v>
      </c>
      <c r="J477" s="40">
        <v>0.3546220390817667</v>
      </c>
    </row>
    <row r="478" spans="1:10" ht="11.25" customHeight="1" x14ac:dyDescent="0.2">
      <c r="A478" s="48" t="s">
        <v>25</v>
      </c>
      <c r="B478" s="39">
        <v>0</v>
      </c>
      <c r="C478" s="39">
        <v>0</v>
      </c>
      <c r="D478" s="39">
        <v>32006.6852</v>
      </c>
      <c r="E478" s="39">
        <v>56891.784884151544</v>
      </c>
      <c r="F478" s="39">
        <v>0</v>
      </c>
      <c r="G478" s="39">
        <v>0</v>
      </c>
      <c r="H478" s="40">
        <v>0.77749693630103067</v>
      </c>
      <c r="I478" s="40">
        <v>0</v>
      </c>
      <c r="J478" s="40">
        <v>0.77749693630103067</v>
      </c>
    </row>
    <row r="479" spans="1:10" ht="11.25" customHeight="1" x14ac:dyDescent="0.2">
      <c r="A479" s="49">
        <v>44440</v>
      </c>
      <c r="B479" s="39">
        <v>0</v>
      </c>
      <c r="C479" s="39">
        <v>0</v>
      </c>
      <c r="D479" s="39">
        <v>2587.1847600000001</v>
      </c>
      <c r="E479" s="39">
        <v>4598.712984544718</v>
      </c>
      <c r="F479" s="39">
        <v>0</v>
      </c>
      <c r="G479" s="39">
        <v>0</v>
      </c>
      <c r="H479" s="40">
        <v>0.77749693630103089</v>
      </c>
      <c r="I479" s="40">
        <v>0</v>
      </c>
      <c r="J479" s="40">
        <v>0.77749693630103089</v>
      </c>
    </row>
    <row r="480" spans="1:10" ht="11.25" customHeight="1" x14ac:dyDescent="0.2">
      <c r="A480" s="49">
        <v>44470</v>
      </c>
      <c r="B480" s="39">
        <v>0</v>
      </c>
      <c r="C480" s="39">
        <v>0</v>
      </c>
      <c r="D480" s="39">
        <v>2663.8559999999998</v>
      </c>
      <c r="E480" s="39">
        <v>4734.9958787471178</v>
      </c>
      <c r="F480" s="39">
        <v>0</v>
      </c>
      <c r="G480" s="39">
        <v>0</v>
      </c>
      <c r="H480" s="40">
        <v>0.77749693630103067</v>
      </c>
      <c r="I480" s="40">
        <v>0</v>
      </c>
      <c r="J480" s="40">
        <v>0.77749693630103067</v>
      </c>
    </row>
    <row r="481" spans="1:10" ht="11.25" customHeight="1" x14ac:dyDescent="0.2">
      <c r="A481" s="49">
        <v>44501</v>
      </c>
      <c r="B481" s="39">
        <v>0</v>
      </c>
      <c r="C481" s="39">
        <v>0</v>
      </c>
      <c r="D481" s="39">
        <v>2677.2891200000004</v>
      </c>
      <c r="E481" s="39">
        <v>4758.8732083920831</v>
      </c>
      <c r="F481" s="39">
        <v>0</v>
      </c>
      <c r="G481" s="39">
        <v>0</v>
      </c>
      <c r="H481" s="40">
        <v>0.77749693630103067</v>
      </c>
      <c r="I481" s="40">
        <v>0</v>
      </c>
      <c r="J481" s="40">
        <v>0.77749693630103067</v>
      </c>
    </row>
    <row r="482" spans="1:10" ht="11.25" customHeight="1" x14ac:dyDescent="0.2">
      <c r="A482" s="49">
        <v>44531</v>
      </c>
      <c r="B482" s="39">
        <v>0</v>
      </c>
      <c r="C482" s="39">
        <v>0</v>
      </c>
      <c r="D482" s="39">
        <v>2758.0585999999998</v>
      </c>
      <c r="E482" s="39">
        <v>4902.4407116387101</v>
      </c>
      <c r="F482" s="39">
        <v>0</v>
      </c>
      <c r="G482" s="39">
        <v>0</v>
      </c>
      <c r="H482" s="40">
        <v>0.77749693630103089</v>
      </c>
      <c r="I482" s="40">
        <v>0</v>
      </c>
      <c r="J482" s="40">
        <v>0.77749693630103089</v>
      </c>
    </row>
    <row r="483" spans="1:10" ht="11.25" customHeight="1" x14ac:dyDescent="0.2">
      <c r="A483" s="49">
        <v>44562</v>
      </c>
      <c r="B483" s="39">
        <v>0</v>
      </c>
      <c r="C483" s="39">
        <v>0</v>
      </c>
      <c r="D483" s="39">
        <v>2664.9374800000001</v>
      </c>
      <c r="E483" s="39">
        <v>4736.9182061337897</v>
      </c>
      <c r="F483" s="39">
        <v>0</v>
      </c>
      <c r="G483" s="39">
        <v>0</v>
      </c>
      <c r="H483" s="40">
        <v>0.77749693630103089</v>
      </c>
      <c r="I483" s="40">
        <v>0</v>
      </c>
      <c r="J483" s="40">
        <v>0.77749693630103089</v>
      </c>
    </row>
    <row r="484" spans="1:10" ht="11.25" customHeight="1" x14ac:dyDescent="0.2">
      <c r="A484" s="49">
        <v>44593</v>
      </c>
      <c r="B484" s="39">
        <v>0</v>
      </c>
      <c r="C484" s="39">
        <v>0</v>
      </c>
      <c r="D484" s="39">
        <v>2412.0988400000001</v>
      </c>
      <c r="E484" s="39">
        <v>4287.4982981552703</v>
      </c>
      <c r="F484" s="39">
        <v>0</v>
      </c>
      <c r="G484" s="39">
        <v>0</v>
      </c>
      <c r="H484" s="40">
        <v>0.77749693630103067</v>
      </c>
      <c r="I484" s="40">
        <v>0</v>
      </c>
      <c r="J484" s="40">
        <v>0.77749693630103067</v>
      </c>
    </row>
    <row r="485" spans="1:10" ht="11.25" customHeight="1" x14ac:dyDescent="0.2">
      <c r="A485" s="49">
        <v>44621</v>
      </c>
      <c r="B485" s="39">
        <v>0</v>
      </c>
      <c r="C485" s="39">
        <v>0</v>
      </c>
      <c r="D485" s="39">
        <v>2811.1080400000001</v>
      </c>
      <c r="E485" s="39">
        <v>4996.7359287111949</v>
      </c>
      <c r="F485" s="39">
        <v>0</v>
      </c>
      <c r="G485" s="39">
        <v>0</v>
      </c>
      <c r="H485" s="40">
        <v>0.77749693630103045</v>
      </c>
      <c r="I485" s="40">
        <v>0</v>
      </c>
      <c r="J485" s="40">
        <v>0.77749693630103045</v>
      </c>
    </row>
    <row r="486" spans="1:10" ht="11.25" customHeight="1" x14ac:dyDescent="0.2">
      <c r="A486" s="49">
        <v>44652</v>
      </c>
      <c r="B486" s="39">
        <v>0</v>
      </c>
      <c r="C486" s="39">
        <v>0</v>
      </c>
      <c r="D486" s="39">
        <v>2715.7670400000002</v>
      </c>
      <c r="E486" s="39">
        <v>4827.2675933073187</v>
      </c>
      <c r="F486" s="39">
        <v>0</v>
      </c>
      <c r="G486" s="39">
        <v>0</v>
      </c>
      <c r="H486" s="40">
        <v>0.77749693630103067</v>
      </c>
      <c r="I486" s="40">
        <v>0</v>
      </c>
      <c r="J486" s="40">
        <v>0.77749693630103067</v>
      </c>
    </row>
    <row r="487" spans="1:10" ht="11.25" customHeight="1" x14ac:dyDescent="0.2">
      <c r="A487" s="49">
        <v>44682</v>
      </c>
      <c r="B487" s="39">
        <v>0</v>
      </c>
      <c r="C487" s="39">
        <v>0</v>
      </c>
      <c r="D487" s="39">
        <v>2694.7635600000003</v>
      </c>
      <c r="E487" s="39">
        <v>4789.9339719556592</v>
      </c>
      <c r="F487" s="39">
        <v>0</v>
      </c>
      <c r="G487" s="39">
        <v>0</v>
      </c>
      <c r="H487" s="40">
        <v>0.77749693630103067</v>
      </c>
      <c r="I487" s="40">
        <v>0</v>
      </c>
      <c r="J487" s="40">
        <v>0.77749693630103067</v>
      </c>
    </row>
    <row r="488" spans="1:10" ht="11.25" customHeight="1" x14ac:dyDescent="0.2">
      <c r="A488" s="49">
        <v>44713</v>
      </c>
      <c r="B488" s="39">
        <v>0</v>
      </c>
      <c r="C488" s="39">
        <v>0</v>
      </c>
      <c r="D488" s="39">
        <v>2615.0755599999998</v>
      </c>
      <c r="E488" s="39">
        <v>4648.2887960957023</v>
      </c>
      <c r="F488" s="39">
        <v>0</v>
      </c>
      <c r="G488" s="39">
        <v>0</v>
      </c>
      <c r="H488" s="40">
        <v>0.77749693630103089</v>
      </c>
      <c r="I488" s="40">
        <v>0</v>
      </c>
      <c r="J488" s="40">
        <v>0.77749693630103089</v>
      </c>
    </row>
    <row r="489" spans="1:10" ht="11.25" customHeight="1" x14ac:dyDescent="0.2">
      <c r="A489" s="49">
        <v>44743</v>
      </c>
      <c r="B489" s="39">
        <v>0</v>
      </c>
      <c r="C489" s="39">
        <v>0</v>
      </c>
      <c r="D489" s="39">
        <v>2727.8340800000001</v>
      </c>
      <c r="E489" s="39">
        <v>4848.7167199375408</v>
      </c>
      <c r="F489" s="39">
        <v>0</v>
      </c>
      <c r="G489" s="39">
        <v>0</v>
      </c>
      <c r="H489" s="40">
        <v>0.77749693630103067</v>
      </c>
      <c r="I489" s="40">
        <v>0</v>
      </c>
      <c r="J489" s="40">
        <v>0.77749693630103067</v>
      </c>
    </row>
    <row r="490" spans="1:10" ht="11.25" customHeight="1" x14ac:dyDescent="0.2">
      <c r="A490" s="49">
        <v>44774</v>
      </c>
      <c r="B490" s="39">
        <v>0</v>
      </c>
      <c r="C490" s="39">
        <v>0</v>
      </c>
      <c r="D490" s="39">
        <v>2678.7121200000001</v>
      </c>
      <c r="E490" s="39">
        <v>4761.4025865324393</v>
      </c>
      <c r="F490" s="39">
        <v>0</v>
      </c>
      <c r="G490" s="39">
        <v>0</v>
      </c>
      <c r="H490" s="40">
        <v>0.77749693630103067</v>
      </c>
      <c r="I490" s="40">
        <v>0</v>
      </c>
      <c r="J490" s="40">
        <v>0.77749693630103067</v>
      </c>
    </row>
    <row r="491" spans="1:10" ht="11.25" customHeight="1" x14ac:dyDescent="0.2">
      <c r="A491" s="48" t="s">
        <v>37</v>
      </c>
      <c r="B491" s="39">
        <v>40809.960000000014</v>
      </c>
      <c r="C491" s="39">
        <v>48482.288640718965</v>
      </c>
      <c r="D491" s="39">
        <v>0</v>
      </c>
      <c r="E491" s="39">
        <v>0</v>
      </c>
      <c r="F491" s="39">
        <v>0</v>
      </c>
      <c r="G491" s="39">
        <v>0</v>
      </c>
      <c r="H491" s="40">
        <v>0.18800137615226653</v>
      </c>
      <c r="I491" s="40">
        <v>0</v>
      </c>
      <c r="J491" s="40">
        <v>0.18800137615226653</v>
      </c>
    </row>
    <row r="492" spans="1:10" ht="11.25" customHeight="1" x14ac:dyDescent="0.2">
      <c r="A492" s="49">
        <v>44440</v>
      </c>
      <c r="B492" s="39">
        <v>3400.8300000000004</v>
      </c>
      <c r="C492" s="39">
        <v>4040.190720059913</v>
      </c>
      <c r="D492" s="39">
        <v>0</v>
      </c>
      <c r="E492" s="39">
        <v>0</v>
      </c>
      <c r="F492" s="39">
        <v>0</v>
      </c>
      <c r="G492" s="39">
        <v>0</v>
      </c>
      <c r="H492" s="40">
        <v>0.18800137615226653</v>
      </c>
      <c r="I492" s="40">
        <v>0</v>
      </c>
      <c r="J492" s="40">
        <v>0.18800137615226653</v>
      </c>
    </row>
    <row r="493" spans="1:10" ht="11.25" customHeight="1" x14ac:dyDescent="0.2">
      <c r="A493" s="49">
        <v>44470</v>
      </c>
      <c r="B493" s="39">
        <v>3400.8300000000004</v>
      </c>
      <c r="C493" s="39">
        <v>4040.190720059913</v>
      </c>
      <c r="D493" s="39">
        <v>0</v>
      </c>
      <c r="E493" s="39">
        <v>0</v>
      </c>
      <c r="F493" s="39">
        <v>0</v>
      </c>
      <c r="G493" s="39">
        <v>0</v>
      </c>
      <c r="H493" s="40">
        <v>0.18800137615226653</v>
      </c>
      <c r="I493" s="40">
        <v>0</v>
      </c>
      <c r="J493" s="40">
        <v>0.18800137615226653</v>
      </c>
    </row>
    <row r="494" spans="1:10" ht="11.25" customHeight="1" x14ac:dyDescent="0.2">
      <c r="A494" s="49">
        <v>44501</v>
      </c>
      <c r="B494" s="39">
        <v>3400.8300000000004</v>
      </c>
      <c r="C494" s="39">
        <v>4040.190720059913</v>
      </c>
      <c r="D494" s="39">
        <v>0</v>
      </c>
      <c r="E494" s="39">
        <v>0</v>
      </c>
      <c r="F494" s="39">
        <v>0</v>
      </c>
      <c r="G494" s="39">
        <v>0</v>
      </c>
      <c r="H494" s="40">
        <v>0.18800137615226653</v>
      </c>
      <c r="I494" s="40">
        <v>0</v>
      </c>
      <c r="J494" s="40">
        <v>0.18800137615226653</v>
      </c>
    </row>
    <row r="495" spans="1:10" ht="11.25" customHeight="1" x14ac:dyDescent="0.2">
      <c r="A495" s="49">
        <v>44531</v>
      </c>
      <c r="B495" s="39">
        <v>3400.8300000000004</v>
      </c>
      <c r="C495" s="39">
        <v>4040.190720059913</v>
      </c>
      <c r="D495" s="39">
        <v>0</v>
      </c>
      <c r="E495" s="39">
        <v>0</v>
      </c>
      <c r="F495" s="39">
        <v>0</v>
      </c>
      <c r="G495" s="39">
        <v>0</v>
      </c>
      <c r="H495" s="40">
        <v>0.18800137615226653</v>
      </c>
      <c r="I495" s="40">
        <v>0</v>
      </c>
      <c r="J495" s="40">
        <v>0.18800137615226653</v>
      </c>
    </row>
    <row r="496" spans="1:10" ht="11.25" customHeight="1" x14ac:dyDescent="0.2">
      <c r="A496" s="49">
        <v>44562</v>
      </c>
      <c r="B496" s="39">
        <v>3400.8300000000004</v>
      </c>
      <c r="C496" s="39">
        <v>4040.190720059913</v>
      </c>
      <c r="D496" s="39">
        <v>0</v>
      </c>
      <c r="E496" s="39">
        <v>0</v>
      </c>
      <c r="F496" s="39">
        <v>0</v>
      </c>
      <c r="G496" s="39">
        <v>0</v>
      </c>
      <c r="H496" s="40">
        <v>0.18800137615226653</v>
      </c>
      <c r="I496" s="40">
        <v>0</v>
      </c>
      <c r="J496" s="40">
        <v>0.18800137615226653</v>
      </c>
    </row>
    <row r="497" spans="1:10" ht="11.25" customHeight="1" x14ac:dyDescent="0.2">
      <c r="A497" s="49">
        <v>44593</v>
      </c>
      <c r="B497" s="39">
        <v>3400.8300000000004</v>
      </c>
      <c r="C497" s="39">
        <v>4040.190720059913</v>
      </c>
      <c r="D497" s="39">
        <v>0</v>
      </c>
      <c r="E497" s="39">
        <v>0</v>
      </c>
      <c r="F497" s="39">
        <v>0</v>
      </c>
      <c r="G497" s="39">
        <v>0</v>
      </c>
      <c r="H497" s="40">
        <v>0.18800137615226653</v>
      </c>
      <c r="I497" s="40">
        <v>0</v>
      </c>
      <c r="J497" s="40">
        <v>0.18800137615226653</v>
      </c>
    </row>
    <row r="498" spans="1:10" ht="11.25" customHeight="1" x14ac:dyDescent="0.2">
      <c r="A498" s="49">
        <v>44621</v>
      </c>
      <c r="B498" s="39">
        <v>3400.8300000000004</v>
      </c>
      <c r="C498" s="39">
        <v>4040.190720059913</v>
      </c>
      <c r="D498" s="39">
        <v>0</v>
      </c>
      <c r="E498" s="39">
        <v>0</v>
      </c>
      <c r="F498" s="39">
        <v>0</v>
      </c>
      <c r="G498" s="39">
        <v>0</v>
      </c>
      <c r="H498" s="40">
        <v>0.18800137615226653</v>
      </c>
      <c r="I498" s="40">
        <v>0</v>
      </c>
      <c r="J498" s="40">
        <v>0.18800137615226653</v>
      </c>
    </row>
    <row r="499" spans="1:10" ht="11.25" customHeight="1" x14ac:dyDescent="0.2">
      <c r="A499" s="49">
        <v>44652</v>
      </c>
      <c r="B499" s="39">
        <v>3400.8300000000004</v>
      </c>
      <c r="C499" s="39">
        <v>4040.190720059913</v>
      </c>
      <c r="D499" s="39">
        <v>0</v>
      </c>
      <c r="E499" s="39">
        <v>0</v>
      </c>
      <c r="F499" s="39">
        <v>0</v>
      </c>
      <c r="G499" s="39">
        <v>0</v>
      </c>
      <c r="H499" s="40">
        <v>0.18800137615226653</v>
      </c>
      <c r="I499" s="40">
        <v>0</v>
      </c>
      <c r="J499" s="40">
        <v>0.18800137615226653</v>
      </c>
    </row>
    <row r="500" spans="1:10" ht="11.25" customHeight="1" x14ac:dyDescent="0.2">
      <c r="A500" s="49">
        <v>44682</v>
      </c>
      <c r="B500" s="39">
        <v>3400.8300000000004</v>
      </c>
      <c r="C500" s="39">
        <v>4040.190720059913</v>
      </c>
      <c r="D500" s="39">
        <v>0</v>
      </c>
      <c r="E500" s="39">
        <v>0</v>
      </c>
      <c r="F500" s="39">
        <v>0</v>
      </c>
      <c r="G500" s="39">
        <v>0</v>
      </c>
      <c r="H500" s="40">
        <v>0.18800137615226653</v>
      </c>
      <c r="I500" s="40">
        <v>0</v>
      </c>
      <c r="J500" s="40">
        <v>0.18800137615226653</v>
      </c>
    </row>
    <row r="501" spans="1:10" ht="11.25" customHeight="1" x14ac:dyDescent="0.2">
      <c r="A501" s="49">
        <v>44713</v>
      </c>
      <c r="B501" s="39">
        <v>3400.8300000000004</v>
      </c>
      <c r="C501" s="39">
        <v>4040.190720059913</v>
      </c>
      <c r="D501" s="39">
        <v>0</v>
      </c>
      <c r="E501" s="39">
        <v>0</v>
      </c>
      <c r="F501" s="39">
        <v>0</v>
      </c>
      <c r="G501" s="39">
        <v>0</v>
      </c>
      <c r="H501" s="40">
        <v>0.18800137615226653</v>
      </c>
      <c r="I501" s="40">
        <v>0</v>
      </c>
      <c r="J501" s="40">
        <v>0.18800137615226653</v>
      </c>
    </row>
    <row r="502" spans="1:10" ht="11.25" customHeight="1" x14ac:dyDescent="0.2">
      <c r="A502" s="49">
        <v>44743</v>
      </c>
      <c r="B502" s="39">
        <v>3400.8300000000004</v>
      </c>
      <c r="C502" s="39">
        <v>4040.190720059913</v>
      </c>
      <c r="D502" s="39">
        <v>0</v>
      </c>
      <c r="E502" s="39">
        <v>0</v>
      </c>
      <c r="F502" s="39">
        <v>0</v>
      </c>
      <c r="G502" s="39">
        <v>0</v>
      </c>
      <c r="H502" s="40">
        <v>0.18800137615226653</v>
      </c>
      <c r="I502" s="40">
        <v>0</v>
      </c>
      <c r="J502" s="40">
        <v>0.18800137615226653</v>
      </c>
    </row>
    <row r="503" spans="1:10" ht="11.25" customHeight="1" x14ac:dyDescent="0.2">
      <c r="A503" s="49">
        <v>44774</v>
      </c>
      <c r="B503" s="39">
        <v>3400.8300000000004</v>
      </c>
      <c r="C503" s="39">
        <v>4040.190720059913</v>
      </c>
      <c r="D503" s="39">
        <v>0</v>
      </c>
      <c r="E503" s="39">
        <v>0</v>
      </c>
      <c r="F503" s="39">
        <v>0</v>
      </c>
      <c r="G503" s="39">
        <v>0</v>
      </c>
      <c r="H503" s="40">
        <v>0.18800137615226653</v>
      </c>
      <c r="I503" s="40">
        <v>0</v>
      </c>
      <c r="J503" s="40">
        <v>0.18800137615226653</v>
      </c>
    </row>
    <row r="504" spans="1:10" ht="11.25" customHeight="1" x14ac:dyDescent="0.2">
      <c r="A504" s="43" t="s">
        <v>36</v>
      </c>
      <c r="B504" s="39">
        <v>102898.04</v>
      </c>
      <c r="C504" s="39">
        <v>139387.9527623172</v>
      </c>
      <c r="D504" s="39">
        <v>523993.49325474998</v>
      </c>
      <c r="E504" s="39">
        <v>744801.33401813894</v>
      </c>
      <c r="F504" s="39">
        <v>0</v>
      </c>
      <c r="G504" s="39">
        <v>0</v>
      </c>
      <c r="H504" s="40">
        <v>0.41043424560201869</v>
      </c>
      <c r="I504" s="40">
        <v>0</v>
      </c>
      <c r="J504" s="40">
        <v>0.41043424560201869</v>
      </c>
    </row>
    <row r="505" spans="1:10" ht="11.25" customHeight="1" x14ac:dyDescent="0.2">
      <c r="A505" s="44" t="s">
        <v>34</v>
      </c>
      <c r="B505" s="39">
        <v>102898.04</v>
      </c>
      <c r="C505" s="39">
        <v>139387.9527623172</v>
      </c>
      <c r="D505" s="39">
        <v>523993.49325474998</v>
      </c>
      <c r="E505" s="39">
        <v>744801.33401813894</v>
      </c>
      <c r="F505" s="39">
        <v>0</v>
      </c>
      <c r="G505" s="39">
        <v>0</v>
      </c>
      <c r="H505" s="40">
        <v>0.41043424560201869</v>
      </c>
      <c r="I505" s="40">
        <v>0</v>
      </c>
      <c r="J505" s="40">
        <v>0.41043424560201869</v>
      </c>
    </row>
    <row r="506" spans="1:10" ht="11.25" customHeight="1" x14ac:dyDescent="0.2">
      <c r="A506" s="45" t="s">
        <v>25</v>
      </c>
      <c r="B506" s="39">
        <v>102898.04</v>
      </c>
      <c r="C506" s="39">
        <v>139387.9527623172</v>
      </c>
      <c r="D506" s="39">
        <v>523993.49325474998</v>
      </c>
      <c r="E506" s="39">
        <v>744801.33401813894</v>
      </c>
      <c r="F506" s="39">
        <v>0</v>
      </c>
      <c r="G506" s="39">
        <v>0</v>
      </c>
      <c r="H506" s="40">
        <v>0.41043424560201869</v>
      </c>
      <c r="I506" s="40">
        <v>0</v>
      </c>
      <c r="J506" s="40">
        <v>0.41043424560201869</v>
      </c>
    </row>
    <row r="507" spans="1:10" ht="11.25" customHeight="1" x14ac:dyDescent="0.2">
      <c r="A507" s="46" t="s">
        <v>55</v>
      </c>
      <c r="B507" s="39">
        <v>102898.04</v>
      </c>
      <c r="C507" s="39">
        <v>139387.9527623172</v>
      </c>
      <c r="D507" s="39">
        <v>523993.49325474998</v>
      </c>
      <c r="E507" s="39">
        <v>744801.33401813894</v>
      </c>
      <c r="F507" s="39">
        <v>0</v>
      </c>
      <c r="G507" s="39">
        <v>0</v>
      </c>
      <c r="H507" s="40">
        <v>0.41043424560201869</v>
      </c>
      <c r="I507" s="40">
        <v>0</v>
      </c>
      <c r="J507" s="40">
        <v>0.41043424560201869</v>
      </c>
    </row>
    <row r="508" spans="1:10" ht="11.25" customHeight="1" x14ac:dyDescent="0.2">
      <c r="A508" s="47" t="s">
        <v>25</v>
      </c>
      <c r="B508" s="39">
        <v>102898.04</v>
      </c>
      <c r="C508" s="39">
        <v>139387.9527623172</v>
      </c>
      <c r="D508" s="39">
        <v>523993.49325474998</v>
      </c>
      <c r="E508" s="39">
        <v>744801.33401813894</v>
      </c>
      <c r="F508" s="39">
        <v>0</v>
      </c>
      <c r="G508" s="39">
        <v>0</v>
      </c>
      <c r="H508" s="40">
        <v>0.41043424560201869</v>
      </c>
      <c r="I508" s="40">
        <v>0</v>
      </c>
      <c r="J508" s="40">
        <v>0.41043424560201869</v>
      </c>
    </row>
    <row r="509" spans="1:10" ht="11.25" customHeight="1" x14ac:dyDescent="0.2">
      <c r="A509" s="48" t="s">
        <v>38</v>
      </c>
      <c r="B509" s="39">
        <v>0</v>
      </c>
      <c r="C509" s="39">
        <v>0</v>
      </c>
      <c r="D509" s="39">
        <v>197825.45999999996</v>
      </c>
      <c r="E509" s="39">
        <v>351634.14907234209</v>
      </c>
      <c r="F509" s="39">
        <v>0</v>
      </c>
      <c r="G509" s="39">
        <v>0</v>
      </c>
      <c r="H509" s="40">
        <v>0.77749693630103089</v>
      </c>
      <c r="I509" s="40">
        <v>0</v>
      </c>
      <c r="J509" s="40">
        <v>0.77749693630103089</v>
      </c>
    </row>
    <row r="510" spans="1:10" ht="11.25" customHeight="1" x14ac:dyDescent="0.2">
      <c r="A510" s="49">
        <v>44440</v>
      </c>
      <c r="B510" s="39">
        <v>0</v>
      </c>
      <c r="C510" s="39">
        <v>0</v>
      </c>
      <c r="D510" s="39">
        <v>14655.98928</v>
      </c>
      <c r="E510" s="39">
        <v>26050.976043660747</v>
      </c>
      <c r="F510" s="39">
        <v>0</v>
      </c>
      <c r="G510" s="39">
        <v>0</v>
      </c>
      <c r="H510" s="40">
        <v>0.77749693630103067</v>
      </c>
      <c r="I510" s="40">
        <v>0</v>
      </c>
      <c r="J510" s="40">
        <v>0.77749693630103067</v>
      </c>
    </row>
    <row r="511" spans="1:10" ht="11.25" customHeight="1" x14ac:dyDescent="0.2">
      <c r="A511" s="49">
        <v>44470</v>
      </c>
      <c r="B511" s="39">
        <v>0</v>
      </c>
      <c r="C511" s="39">
        <v>0</v>
      </c>
      <c r="D511" s="39">
        <v>15872.198920000001</v>
      </c>
      <c r="E511" s="39">
        <v>28212.784952660528</v>
      </c>
      <c r="F511" s="39">
        <v>0</v>
      </c>
      <c r="G511" s="39">
        <v>0</v>
      </c>
      <c r="H511" s="40">
        <v>0.77749693630103067</v>
      </c>
      <c r="I511" s="40">
        <v>0</v>
      </c>
      <c r="J511" s="40">
        <v>0.77749693630103067</v>
      </c>
    </row>
    <row r="512" spans="1:10" ht="11.25" customHeight="1" x14ac:dyDescent="0.2">
      <c r="A512" s="49">
        <v>44501</v>
      </c>
      <c r="B512" s="39">
        <v>0</v>
      </c>
      <c r="C512" s="39">
        <v>0</v>
      </c>
      <c r="D512" s="39">
        <v>15643.43744</v>
      </c>
      <c r="E512" s="39">
        <v>27806.162122816837</v>
      </c>
      <c r="F512" s="39">
        <v>0</v>
      </c>
      <c r="G512" s="39">
        <v>0</v>
      </c>
      <c r="H512" s="40">
        <v>0.77749693630103067</v>
      </c>
      <c r="I512" s="40">
        <v>0</v>
      </c>
      <c r="J512" s="40">
        <v>0.77749693630103067</v>
      </c>
    </row>
    <row r="513" spans="1:10" ht="11.25" customHeight="1" x14ac:dyDescent="0.2">
      <c r="A513" s="49">
        <v>44531</v>
      </c>
      <c r="B513" s="39">
        <v>0</v>
      </c>
      <c r="C513" s="39">
        <v>0</v>
      </c>
      <c r="D513" s="39">
        <v>11881.53772</v>
      </c>
      <c r="E513" s="39">
        <v>21119.396895845133</v>
      </c>
      <c r="F513" s="39">
        <v>0</v>
      </c>
      <c r="G513" s="39">
        <v>0</v>
      </c>
      <c r="H513" s="40">
        <v>0.77749693630103067</v>
      </c>
      <c r="I513" s="40">
        <v>0</v>
      </c>
      <c r="J513" s="40">
        <v>0.77749693630103067</v>
      </c>
    </row>
    <row r="514" spans="1:10" ht="11.25" customHeight="1" x14ac:dyDescent="0.2">
      <c r="A514" s="49">
        <v>44562</v>
      </c>
      <c r="B514" s="39">
        <v>0</v>
      </c>
      <c r="C514" s="39">
        <v>0</v>
      </c>
      <c r="D514" s="39">
        <v>15946.08108</v>
      </c>
      <c r="E514" s="39">
        <v>28344.11026570783</v>
      </c>
      <c r="F514" s="39">
        <v>0</v>
      </c>
      <c r="G514" s="39">
        <v>0</v>
      </c>
      <c r="H514" s="40">
        <v>0.77749693630103067</v>
      </c>
      <c r="I514" s="40">
        <v>0</v>
      </c>
      <c r="J514" s="40">
        <v>0.77749693630103067</v>
      </c>
    </row>
    <row r="515" spans="1:10" ht="11.25" customHeight="1" x14ac:dyDescent="0.2">
      <c r="A515" s="49">
        <v>44593</v>
      </c>
      <c r="B515" s="39">
        <v>0</v>
      </c>
      <c r="C515" s="39">
        <v>0</v>
      </c>
      <c r="D515" s="39">
        <v>16794.701359999999</v>
      </c>
      <c r="E515" s="39">
        <v>29852.530213490754</v>
      </c>
      <c r="F515" s="39">
        <v>0</v>
      </c>
      <c r="G515" s="39">
        <v>0</v>
      </c>
      <c r="H515" s="40">
        <v>0.77749693630103089</v>
      </c>
      <c r="I515" s="40">
        <v>0</v>
      </c>
      <c r="J515" s="40">
        <v>0.77749693630103089</v>
      </c>
    </row>
    <row r="516" spans="1:10" ht="11.25" customHeight="1" x14ac:dyDescent="0.2">
      <c r="A516" s="49">
        <v>44621</v>
      </c>
      <c r="B516" s="39">
        <v>0</v>
      </c>
      <c r="C516" s="39">
        <v>0</v>
      </c>
      <c r="D516" s="39">
        <v>19149.8802</v>
      </c>
      <c r="E516" s="39">
        <v>34038.853386031769</v>
      </c>
      <c r="F516" s="39">
        <v>0</v>
      </c>
      <c r="G516" s="39">
        <v>0</v>
      </c>
      <c r="H516" s="40">
        <v>0.77749693630103067</v>
      </c>
      <c r="I516" s="40">
        <v>0</v>
      </c>
      <c r="J516" s="40">
        <v>0.77749693630103067</v>
      </c>
    </row>
    <row r="517" spans="1:10" ht="11.25" customHeight="1" x14ac:dyDescent="0.2">
      <c r="A517" s="49">
        <v>44652</v>
      </c>
      <c r="B517" s="39">
        <v>0</v>
      </c>
      <c r="C517" s="39">
        <v>0</v>
      </c>
      <c r="D517" s="39">
        <v>18801.415959999998</v>
      </c>
      <c r="E517" s="39">
        <v>33419.459267021302</v>
      </c>
      <c r="F517" s="39">
        <v>0</v>
      </c>
      <c r="G517" s="39">
        <v>0</v>
      </c>
      <c r="H517" s="40">
        <v>0.77749693630103089</v>
      </c>
      <c r="I517" s="40">
        <v>0</v>
      </c>
      <c r="J517" s="40">
        <v>0.77749693630103089</v>
      </c>
    </row>
    <row r="518" spans="1:10" ht="11.25" customHeight="1" x14ac:dyDescent="0.2">
      <c r="A518" s="49">
        <v>44682</v>
      </c>
      <c r="B518" s="39">
        <v>0</v>
      </c>
      <c r="C518" s="39">
        <v>0</v>
      </c>
      <c r="D518" s="39">
        <v>24234.373040000002</v>
      </c>
      <c r="E518" s="39">
        <v>43076.5238317763</v>
      </c>
      <c r="F518" s="39">
        <v>0</v>
      </c>
      <c r="G518" s="39">
        <v>0</v>
      </c>
      <c r="H518" s="40">
        <v>0.77749693630103067</v>
      </c>
      <c r="I518" s="40">
        <v>0</v>
      </c>
      <c r="J518" s="40">
        <v>0.77749693630103067</v>
      </c>
    </row>
    <row r="519" spans="1:10" ht="11.25" customHeight="1" x14ac:dyDescent="0.2">
      <c r="A519" s="49">
        <v>44713</v>
      </c>
      <c r="B519" s="39">
        <v>0</v>
      </c>
      <c r="C519" s="39">
        <v>0</v>
      </c>
      <c r="D519" s="39">
        <v>13068.71816</v>
      </c>
      <c r="E519" s="39">
        <v>23229.606490781644</v>
      </c>
      <c r="F519" s="39">
        <v>0</v>
      </c>
      <c r="G519" s="39">
        <v>0</v>
      </c>
      <c r="H519" s="40">
        <v>0.77749693630103067</v>
      </c>
      <c r="I519" s="40">
        <v>0</v>
      </c>
      <c r="J519" s="40">
        <v>0.77749693630103067</v>
      </c>
    </row>
    <row r="520" spans="1:10" ht="11.25" customHeight="1" x14ac:dyDescent="0.2">
      <c r="A520" s="49">
        <v>44743</v>
      </c>
      <c r="B520" s="39">
        <v>0</v>
      </c>
      <c r="C520" s="39">
        <v>0</v>
      </c>
      <c r="D520" s="39">
        <v>14145.644560000001</v>
      </c>
      <c r="E520" s="39">
        <v>25143.839867403341</v>
      </c>
      <c r="F520" s="39">
        <v>0</v>
      </c>
      <c r="G520" s="39">
        <v>0</v>
      </c>
      <c r="H520" s="40">
        <v>0.77749693630103067</v>
      </c>
      <c r="I520" s="40">
        <v>0</v>
      </c>
      <c r="J520" s="40">
        <v>0.77749693630103067</v>
      </c>
    </row>
    <row r="521" spans="1:10" ht="11.25" customHeight="1" x14ac:dyDescent="0.2">
      <c r="A521" s="49">
        <v>44774</v>
      </c>
      <c r="B521" s="39">
        <v>0</v>
      </c>
      <c r="C521" s="39">
        <v>0</v>
      </c>
      <c r="D521" s="39">
        <v>17631.48228</v>
      </c>
      <c r="E521" s="39">
        <v>31339.905735145912</v>
      </c>
      <c r="F521" s="39">
        <v>0</v>
      </c>
      <c r="G521" s="39">
        <v>0</v>
      </c>
      <c r="H521" s="40">
        <v>0.77749693630103067</v>
      </c>
      <c r="I521" s="40">
        <v>0</v>
      </c>
      <c r="J521" s="40">
        <v>0.77749693630103067</v>
      </c>
    </row>
    <row r="522" spans="1:10" ht="11.25" customHeight="1" x14ac:dyDescent="0.2">
      <c r="A522" s="48" t="s">
        <v>25</v>
      </c>
      <c r="B522" s="39">
        <v>102898.04</v>
      </c>
      <c r="C522" s="39">
        <v>139387.9527623172</v>
      </c>
      <c r="D522" s="39">
        <v>0</v>
      </c>
      <c r="E522" s="39">
        <v>0</v>
      </c>
      <c r="F522" s="39">
        <v>0</v>
      </c>
      <c r="G522" s="39">
        <v>0</v>
      </c>
      <c r="H522" s="40">
        <v>0.35462203908176693</v>
      </c>
      <c r="I522" s="40">
        <v>0</v>
      </c>
      <c r="J522" s="40">
        <v>0.35462203908176693</v>
      </c>
    </row>
    <row r="523" spans="1:10" ht="11.25" customHeight="1" x14ac:dyDescent="0.2">
      <c r="A523" s="49">
        <v>44440</v>
      </c>
      <c r="B523" s="39">
        <v>6031.8</v>
      </c>
      <c r="C523" s="39">
        <v>8170.809215333401</v>
      </c>
      <c r="D523" s="39">
        <v>0</v>
      </c>
      <c r="E523" s="39">
        <v>0</v>
      </c>
      <c r="F523" s="39">
        <v>0</v>
      </c>
      <c r="G523" s="39">
        <v>0</v>
      </c>
      <c r="H523" s="40">
        <v>0.3546220390817667</v>
      </c>
      <c r="I523" s="40">
        <v>0</v>
      </c>
      <c r="J523" s="40">
        <v>0.3546220390817667</v>
      </c>
    </row>
    <row r="524" spans="1:10" ht="11.25" customHeight="1" x14ac:dyDescent="0.2">
      <c r="A524" s="49">
        <v>44470</v>
      </c>
      <c r="B524" s="39">
        <v>6031.8</v>
      </c>
      <c r="C524" s="39">
        <v>8170.809215333401</v>
      </c>
      <c r="D524" s="39">
        <v>0</v>
      </c>
      <c r="E524" s="39">
        <v>0</v>
      </c>
      <c r="F524" s="39">
        <v>0</v>
      </c>
      <c r="G524" s="39">
        <v>0</v>
      </c>
      <c r="H524" s="40">
        <v>0.3546220390817667</v>
      </c>
      <c r="I524" s="40">
        <v>0</v>
      </c>
      <c r="J524" s="40">
        <v>0.3546220390817667</v>
      </c>
    </row>
    <row r="525" spans="1:10" ht="11.25" customHeight="1" x14ac:dyDescent="0.2">
      <c r="A525" s="49">
        <v>44501</v>
      </c>
      <c r="B525" s="39">
        <v>6031.8</v>
      </c>
      <c r="C525" s="39">
        <v>8170.809215333401</v>
      </c>
      <c r="D525" s="39">
        <v>0</v>
      </c>
      <c r="E525" s="39">
        <v>0</v>
      </c>
      <c r="F525" s="39">
        <v>0</v>
      </c>
      <c r="G525" s="39">
        <v>0</v>
      </c>
      <c r="H525" s="40">
        <v>0.3546220390817667</v>
      </c>
      <c r="I525" s="40">
        <v>0</v>
      </c>
      <c r="J525" s="40">
        <v>0.3546220390817667</v>
      </c>
    </row>
    <row r="526" spans="1:10" ht="11.25" customHeight="1" x14ac:dyDescent="0.2">
      <c r="A526" s="49">
        <v>44531</v>
      </c>
      <c r="B526" s="39">
        <v>6188.18</v>
      </c>
      <c r="C526" s="39">
        <v>8382.6450098050082</v>
      </c>
      <c r="D526" s="39">
        <v>0</v>
      </c>
      <c r="E526" s="39">
        <v>0</v>
      </c>
      <c r="F526" s="39">
        <v>0</v>
      </c>
      <c r="G526" s="39">
        <v>0</v>
      </c>
      <c r="H526" s="40">
        <v>0.3546220390817667</v>
      </c>
      <c r="I526" s="40">
        <v>0</v>
      </c>
      <c r="J526" s="40">
        <v>0.3546220390817667</v>
      </c>
    </row>
    <row r="527" spans="1:10" ht="11.25" customHeight="1" x14ac:dyDescent="0.2">
      <c r="A527" s="49">
        <v>44562</v>
      </c>
      <c r="B527" s="39">
        <v>6266.37</v>
      </c>
      <c r="C527" s="39">
        <v>8488.5629070408104</v>
      </c>
      <c r="D527" s="39">
        <v>0</v>
      </c>
      <c r="E527" s="39">
        <v>0</v>
      </c>
      <c r="F527" s="39">
        <v>0</v>
      </c>
      <c r="G527" s="39">
        <v>0</v>
      </c>
      <c r="H527" s="40">
        <v>0.3546220390817667</v>
      </c>
      <c r="I527" s="40">
        <v>0</v>
      </c>
      <c r="J527" s="40">
        <v>0.3546220390817667</v>
      </c>
    </row>
    <row r="528" spans="1:10" ht="11.25" customHeight="1" x14ac:dyDescent="0.2">
      <c r="A528" s="49">
        <v>44593</v>
      </c>
      <c r="B528" s="39">
        <v>6679.66</v>
      </c>
      <c r="C528" s="39">
        <v>9048.4146495729146</v>
      </c>
      <c r="D528" s="39">
        <v>0</v>
      </c>
      <c r="E528" s="39">
        <v>0</v>
      </c>
      <c r="F528" s="39">
        <v>0</v>
      </c>
      <c r="G528" s="39">
        <v>0</v>
      </c>
      <c r="H528" s="40">
        <v>0.35462203908176693</v>
      </c>
      <c r="I528" s="40">
        <v>0</v>
      </c>
      <c r="J528" s="40">
        <v>0.35462203908176693</v>
      </c>
    </row>
    <row r="529" spans="1:10" ht="11.25" customHeight="1" x14ac:dyDescent="0.2">
      <c r="A529" s="49">
        <v>44621</v>
      </c>
      <c r="B529" s="39">
        <v>6713.17</v>
      </c>
      <c r="C529" s="39">
        <v>9093.8080341025452</v>
      </c>
      <c r="D529" s="39">
        <v>0</v>
      </c>
      <c r="E529" s="39">
        <v>0</v>
      </c>
      <c r="F529" s="39">
        <v>0</v>
      </c>
      <c r="G529" s="39">
        <v>0</v>
      </c>
      <c r="H529" s="40">
        <v>0.35462203908176693</v>
      </c>
      <c r="I529" s="40">
        <v>0</v>
      </c>
      <c r="J529" s="40">
        <v>0.35462203908176693</v>
      </c>
    </row>
    <row r="530" spans="1:10" ht="11.25" customHeight="1" x14ac:dyDescent="0.2">
      <c r="A530" s="49">
        <v>44652</v>
      </c>
      <c r="B530" s="39">
        <v>6757.85</v>
      </c>
      <c r="C530" s="39">
        <v>9154.3325468087169</v>
      </c>
      <c r="D530" s="39">
        <v>0</v>
      </c>
      <c r="E530" s="39">
        <v>0</v>
      </c>
      <c r="F530" s="39">
        <v>0</v>
      </c>
      <c r="G530" s="39">
        <v>0</v>
      </c>
      <c r="H530" s="40">
        <v>0.3546220390817667</v>
      </c>
      <c r="I530" s="40">
        <v>0</v>
      </c>
      <c r="J530" s="40">
        <v>0.3546220390817667</v>
      </c>
    </row>
    <row r="531" spans="1:10" ht="11.25" customHeight="1" x14ac:dyDescent="0.2">
      <c r="A531" s="49">
        <v>44682</v>
      </c>
      <c r="B531" s="39">
        <v>13381.66</v>
      </c>
      <c r="C531" s="39">
        <v>18127.091555498915</v>
      </c>
      <c r="D531" s="39">
        <v>0</v>
      </c>
      <c r="E531" s="39">
        <v>0</v>
      </c>
      <c r="F531" s="39">
        <v>0</v>
      </c>
      <c r="G531" s="39">
        <v>0</v>
      </c>
      <c r="H531" s="40">
        <v>0.3546220390817667</v>
      </c>
      <c r="I531" s="40">
        <v>0</v>
      </c>
      <c r="J531" s="40">
        <v>0.3546220390817667</v>
      </c>
    </row>
    <row r="532" spans="1:10" ht="11.25" customHeight="1" x14ac:dyDescent="0.2">
      <c r="A532" s="49">
        <v>44713</v>
      </c>
      <c r="B532" s="39">
        <v>13348.15</v>
      </c>
      <c r="C532" s="39">
        <v>18081.698170969285</v>
      </c>
      <c r="D532" s="39">
        <v>0</v>
      </c>
      <c r="E532" s="39">
        <v>0</v>
      </c>
      <c r="F532" s="39">
        <v>0</v>
      </c>
      <c r="G532" s="39">
        <v>0</v>
      </c>
      <c r="H532" s="40">
        <v>0.3546220390817667</v>
      </c>
      <c r="I532" s="40">
        <v>0</v>
      </c>
      <c r="J532" s="40">
        <v>0.3546220390817667</v>
      </c>
    </row>
    <row r="533" spans="1:10" ht="11.25" customHeight="1" x14ac:dyDescent="0.2">
      <c r="A533" s="49">
        <v>44743</v>
      </c>
      <c r="B533" s="39">
        <v>12733.8</v>
      </c>
      <c r="C533" s="39">
        <v>17249.486121259401</v>
      </c>
      <c r="D533" s="39">
        <v>0</v>
      </c>
      <c r="E533" s="39">
        <v>0</v>
      </c>
      <c r="F533" s="39">
        <v>0</v>
      </c>
      <c r="G533" s="39">
        <v>0</v>
      </c>
      <c r="H533" s="40">
        <v>0.3546220390817667</v>
      </c>
      <c r="I533" s="40">
        <v>0</v>
      </c>
      <c r="J533" s="40">
        <v>0.3546220390817667</v>
      </c>
    </row>
    <row r="534" spans="1:10" ht="11.25" customHeight="1" x14ac:dyDescent="0.2">
      <c r="A534" s="49">
        <v>44774</v>
      </c>
      <c r="B534" s="39">
        <v>12733.8</v>
      </c>
      <c r="C534" s="39">
        <v>17249.486121259401</v>
      </c>
      <c r="D534" s="39">
        <v>0</v>
      </c>
      <c r="E534" s="39">
        <v>0</v>
      </c>
      <c r="F534" s="39">
        <v>0</v>
      </c>
      <c r="G534" s="39">
        <v>0</v>
      </c>
      <c r="H534" s="40">
        <v>0.3546220390817667</v>
      </c>
      <c r="I534" s="40">
        <v>0</v>
      </c>
      <c r="J534" s="40">
        <v>0.3546220390817667</v>
      </c>
    </row>
    <row r="535" spans="1:10" ht="11.25" customHeight="1" x14ac:dyDescent="0.2">
      <c r="A535" s="48" t="s">
        <v>37</v>
      </c>
      <c r="B535" s="39">
        <v>0</v>
      </c>
      <c r="C535" s="39">
        <v>0</v>
      </c>
      <c r="D535" s="39">
        <v>326168.03325475001</v>
      </c>
      <c r="E535" s="39">
        <v>393167.18494579673</v>
      </c>
      <c r="F535" s="39">
        <v>0</v>
      </c>
      <c r="G535" s="39">
        <v>0</v>
      </c>
      <c r="H535" s="40">
        <v>0.20541299226192944</v>
      </c>
      <c r="I535" s="40">
        <v>0</v>
      </c>
      <c r="J535" s="40">
        <v>0.20541299226192944</v>
      </c>
    </row>
    <row r="536" spans="1:10" ht="11.25" customHeight="1" x14ac:dyDescent="0.2">
      <c r="A536" s="49">
        <v>44440</v>
      </c>
      <c r="B536" s="39">
        <v>0</v>
      </c>
      <c r="C536" s="39">
        <v>0</v>
      </c>
      <c r="D536" s="39">
        <v>23022.585056400003</v>
      </c>
      <c r="E536" s="39">
        <v>27751.723142439911</v>
      </c>
      <c r="F536" s="39">
        <v>0</v>
      </c>
      <c r="G536" s="39">
        <v>0</v>
      </c>
      <c r="H536" s="40">
        <v>0.20541299226192944</v>
      </c>
      <c r="I536" s="40">
        <v>0</v>
      </c>
      <c r="J536" s="40">
        <v>0.20541299226192944</v>
      </c>
    </row>
    <row r="537" spans="1:10" ht="11.25" customHeight="1" x14ac:dyDescent="0.2">
      <c r="A537" s="49">
        <v>44470</v>
      </c>
      <c r="B537" s="39">
        <v>0</v>
      </c>
      <c r="C537" s="39">
        <v>0</v>
      </c>
      <c r="D537" s="39">
        <v>24277.556374336</v>
      </c>
      <c r="E537" s="39">
        <v>29264.481873996043</v>
      </c>
      <c r="F537" s="39">
        <v>0</v>
      </c>
      <c r="G537" s="39">
        <v>0</v>
      </c>
      <c r="H537" s="40">
        <v>0.20541299226192966</v>
      </c>
      <c r="I537" s="40">
        <v>0</v>
      </c>
      <c r="J537" s="40">
        <v>0.20541299226192966</v>
      </c>
    </row>
    <row r="538" spans="1:10" ht="11.25" customHeight="1" x14ac:dyDescent="0.2">
      <c r="A538" s="49">
        <v>44501</v>
      </c>
      <c r="B538" s="39">
        <v>0</v>
      </c>
      <c r="C538" s="39">
        <v>0</v>
      </c>
      <c r="D538" s="39">
        <v>24919.587677928001</v>
      </c>
      <c r="E538" s="39">
        <v>30038.3947487847</v>
      </c>
      <c r="F538" s="39">
        <v>0</v>
      </c>
      <c r="G538" s="39">
        <v>0</v>
      </c>
      <c r="H538" s="40">
        <v>0.20541299226192944</v>
      </c>
      <c r="I538" s="40">
        <v>0</v>
      </c>
      <c r="J538" s="40">
        <v>0.20541299226192944</v>
      </c>
    </row>
    <row r="539" spans="1:10" ht="11.25" customHeight="1" x14ac:dyDescent="0.2">
      <c r="A539" s="49">
        <v>44531</v>
      </c>
      <c r="B539" s="39">
        <v>0</v>
      </c>
      <c r="C539" s="39">
        <v>0</v>
      </c>
      <c r="D539" s="39">
        <v>19237.012475328</v>
      </c>
      <c r="E539" s="39">
        <v>23188.544770065193</v>
      </c>
      <c r="F539" s="39">
        <v>0</v>
      </c>
      <c r="G539" s="39">
        <v>0</v>
      </c>
      <c r="H539" s="40">
        <v>0.20541299226192966</v>
      </c>
      <c r="I539" s="40">
        <v>0</v>
      </c>
      <c r="J539" s="40">
        <v>0.20541299226192966</v>
      </c>
    </row>
    <row r="540" spans="1:10" ht="11.25" customHeight="1" x14ac:dyDescent="0.2">
      <c r="A540" s="49">
        <v>44562</v>
      </c>
      <c r="B540" s="39">
        <v>0</v>
      </c>
      <c r="C540" s="39">
        <v>0</v>
      </c>
      <c r="D540" s="39">
        <v>27177.663613697998</v>
      </c>
      <c r="E540" s="39">
        <v>32760.308819275873</v>
      </c>
      <c r="F540" s="39">
        <v>0</v>
      </c>
      <c r="G540" s="39">
        <v>0</v>
      </c>
      <c r="H540" s="40">
        <v>0.20541299226192966</v>
      </c>
      <c r="I540" s="40">
        <v>0</v>
      </c>
      <c r="J540" s="40">
        <v>0.20541299226192966</v>
      </c>
    </row>
    <row r="541" spans="1:10" ht="11.25" customHeight="1" x14ac:dyDescent="0.2">
      <c r="A541" s="49">
        <v>44593</v>
      </c>
      <c r="B541" s="39">
        <v>0</v>
      </c>
      <c r="C541" s="39">
        <v>0</v>
      </c>
      <c r="D541" s="39">
        <v>27910.416731927999</v>
      </c>
      <c r="E541" s="39">
        <v>33643.578948110757</v>
      </c>
      <c r="F541" s="39">
        <v>0</v>
      </c>
      <c r="G541" s="39">
        <v>0</v>
      </c>
      <c r="H541" s="40">
        <v>0.20541299226192966</v>
      </c>
      <c r="I541" s="40">
        <v>0</v>
      </c>
      <c r="J541" s="40">
        <v>0.20541299226192966</v>
      </c>
    </row>
    <row r="542" spans="1:10" ht="11.25" customHeight="1" x14ac:dyDescent="0.2">
      <c r="A542" s="49">
        <v>44621</v>
      </c>
      <c r="B542" s="39">
        <v>0</v>
      </c>
      <c r="C542" s="39">
        <v>0</v>
      </c>
      <c r="D542" s="39">
        <v>32232.164714957999</v>
      </c>
      <c r="E542" s="39">
        <v>38853.070116136907</v>
      </c>
      <c r="F542" s="39">
        <v>0</v>
      </c>
      <c r="G542" s="39">
        <v>0</v>
      </c>
      <c r="H542" s="40">
        <v>0.20541299226192966</v>
      </c>
      <c r="I542" s="40">
        <v>0</v>
      </c>
      <c r="J542" s="40">
        <v>0.20541299226192966</v>
      </c>
    </row>
    <row r="543" spans="1:10" ht="11.25" customHeight="1" x14ac:dyDescent="0.2">
      <c r="A543" s="49">
        <v>44652</v>
      </c>
      <c r="B543" s="39">
        <v>0</v>
      </c>
      <c r="C543" s="39">
        <v>0</v>
      </c>
      <c r="D543" s="39">
        <v>28457.73844881</v>
      </c>
      <c r="E543" s="39">
        <v>34303.327656587426</v>
      </c>
      <c r="F543" s="39">
        <v>0</v>
      </c>
      <c r="G543" s="39">
        <v>0</v>
      </c>
      <c r="H543" s="40">
        <v>0.20541299226192966</v>
      </c>
      <c r="I543" s="40">
        <v>0</v>
      </c>
      <c r="J543" s="40">
        <v>0.20541299226192966</v>
      </c>
    </row>
    <row r="544" spans="1:10" ht="11.25" customHeight="1" x14ac:dyDescent="0.2">
      <c r="A544" s="49">
        <v>44682</v>
      </c>
      <c r="B544" s="39">
        <v>0</v>
      </c>
      <c r="C544" s="39">
        <v>0</v>
      </c>
      <c r="D544" s="39">
        <v>42932.354127152001</v>
      </c>
      <c r="E544" s="39">
        <v>51751.217453259094</v>
      </c>
      <c r="F544" s="39">
        <v>0</v>
      </c>
      <c r="G544" s="39">
        <v>0</v>
      </c>
      <c r="H544" s="40">
        <v>0.20541299226192966</v>
      </c>
      <c r="I544" s="40">
        <v>0</v>
      </c>
      <c r="J544" s="40">
        <v>0.20541299226192966</v>
      </c>
    </row>
    <row r="545" spans="1:10" ht="11.25" customHeight="1" x14ac:dyDescent="0.2">
      <c r="A545" s="49">
        <v>44713</v>
      </c>
      <c r="B545" s="39">
        <v>0</v>
      </c>
      <c r="C545" s="39">
        <v>0</v>
      </c>
      <c r="D545" s="39">
        <v>21441.253488126</v>
      </c>
      <c r="E545" s="39">
        <v>25845.565524968497</v>
      </c>
      <c r="F545" s="39">
        <v>0</v>
      </c>
      <c r="G545" s="39">
        <v>0</v>
      </c>
      <c r="H545" s="40">
        <v>0.20541299226192966</v>
      </c>
      <c r="I545" s="40">
        <v>0</v>
      </c>
      <c r="J545" s="40">
        <v>0.20541299226192966</v>
      </c>
    </row>
    <row r="546" spans="1:10" ht="11.25" customHeight="1" x14ac:dyDescent="0.2">
      <c r="A546" s="49">
        <v>44743</v>
      </c>
      <c r="B546" s="39">
        <v>0</v>
      </c>
      <c r="C546" s="39">
        <v>0</v>
      </c>
      <c r="D546" s="39">
        <v>23479.005016918003</v>
      </c>
      <c r="E546" s="39">
        <v>28301.897692775987</v>
      </c>
      <c r="F546" s="39">
        <v>0</v>
      </c>
      <c r="G546" s="39">
        <v>0</v>
      </c>
      <c r="H546" s="40">
        <v>0.20541299226192966</v>
      </c>
      <c r="I546" s="40">
        <v>0</v>
      </c>
      <c r="J546" s="40">
        <v>0.20541299226192966</v>
      </c>
    </row>
    <row r="547" spans="1:10" ht="11.25" customHeight="1" x14ac:dyDescent="0.2">
      <c r="A547" s="49">
        <v>44774</v>
      </c>
      <c r="B547" s="39">
        <v>0</v>
      </c>
      <c r="C547" s="39">
        <v>0</v>
      </c>
      <c r="D547" s="39">
        <v>31080.695529167999</v>
      </c>
      <c r="E547" s="39">
        <v>37465.074199396375</v>
      </c>
      <c r="F547" s="39">
        <v>0</v>
      </c>
      <c r="G547" s="39">
        <v>0</v>
      </c>
      <c r="H547" s="40">
        <v>0.20541299226192966</v>
      </c>
      <c r="I547" s="40">
        <v>0</v>
      </c>
      <c r="J547" s="40">
        <v>0.20541299226192966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2AB5-A639-4A0D-8436-ECC56CF03781}">
  <dimension ref="A1:G363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594</v>
      </c>
      <c r="B1" s="39" t="s">
        <v>620</v>
      </c>
      <c r="C1" s="39" t="s">
        <v>621</v>
      </c>
      <c r="D1" s="39" t="s">
        <v>622</v>
      </c>
      <c r="E1" s="39" t="s">
        <v>623</v>
      </c>
      <c r="F1" s="39" t="s">
        <v>624</v>
      </c>
      <c r="G1" s="39" t="s">
        <v>625</v>
      </c>
    </row>
    <row r="2" spans="1:7" ht="11.25" customHeight="1" x14ac:dyDescent="0.2">
      <c r="A2" s="41" t="s">
        <v>613</v>
      </c>
      <c r="B2" s="39">
        <v>0</v>
      </c>
      <c r="C2" s="39">
        <v>7607.8585704000025</v>
      </c>
      <c r="D2" s="39">
        <v>0</v>
      </c>
      <c r="E2" s="39">
        <v>7698.524500719669</v>
      </c>
      <c r="F2" s="39">
        <v>7607.8585704000025</v>
      </c>
      <c r="G2" s="39">
        <v>7698.524500719669</v>
      </c>
    </row>
    <row r="3" spans="1:7" ht="11.25" customHeight="1" x14ac:dyDescent="0.2">
      <c r="A3" s="42" t="s">
        <v>33</v>
      </c>
      <c r="B3" s="39">
        <v>0</v>
      </c>
      <c r="C3" s="39">
        <v>7607.8585704000025</v>
      </c>
      <c r="D3" s="39">
        <v>0</v>
      </c>
      <c r="E3" s="39">
        <v>7698.524500719669</v>
      </c>
      <c r="F3" s="39">
        <v>7607.8585704000025</v>
      </c>
      <c r="G3" s="39">
        <v>7698.524500719669</v>
      </c>
    </row>
    <row r="4" spans="1:7" ht="11.25" customHeight="1" x14ac:dyDescent="0.2">
      <c r="A4" s="43" t="s">
        <v>23</v>
      </c>
      <c r="B4" s="39">
        <v>0</v>
      </c>
      <c r="C4" s="39">
        <v>7607.8585704000025</v>
      </c>
      <c r="D4" s="39">
        <v>0</v>
      </c>
      <c r="E4" s="39">
        <v>7698.524500719669</v>
      </c>
      <c r="F4" s="39">
        <v>7607.8585704000025</v>
      </c>
      <c r="G4" s="39">
        <v>7698.524500719669</v>
      </c>
    </row>
    <row r="5" spans="1:7" ht="11.25" customHeight="1" x14ac:dyDescent="0.2">
      <c r="A5" s="44" t="s">
        <v>47</v>
      </c>
      <c r="B5" s="39">
        <v>0</v>
      </c>
      <c r="C5" s="39">
        <v>7607.8585704000025</v>
      </c>
      <c r="D5" s="39">
        <v>0</v>
      </c>
      <c r="E5" s="39">
        <v>7698.524500719669</v>
      </c>
      <c r="F5" s="39">
        <v>7607.8585704000025</v>
      </c>
      <c r="G5" s="39">
        <v>7698.524500719669</v>
      </c>
    </row>
    <row r="6" spans="1:7" ht="11.25" customHeight="1" x14ac:dyDescent="0.2">
      <c r="A6" s="45" t="s">
        <v>48</v>
      </c>
      <c r="B6" s="39">
        <v>0</v>
      </c>
      <c r="C6" s="39">
        <v>7607.8585704000025</v>
      </c>
      <c r="D6" s="39">
        <v>0</v>
      </c>
      <c r="E6" s="39">
        <v>7698.524500719669</v>
      </c>
      <c r="F6" s="39">
        <v>7607.8585704000025</v>
      </c>
      <c r="G6" s="39">
        <v>7698.524500719669</v>
      </c>
    </row>
    <row r="7" spans="1:7" ht="11.25" customHeight="1" x14ac:dyDescent="0.2">
      <c r="A7" s="46" t="s">
        <v>25</v>
      </c>
      <c r="B7" s="39">
        <v>0</v>
      </c>
      <c r="C7" s="39">
        <v>7607.8585704000025</v>
      </c>
      <c r="D7" s="39">
        <v>0</v>
      </c>
      <c r="E7" s="39">
        <v>7698.524500719669</v>
      </c>
      <c r="F7" s="39">
        <v>7607.8585704000025</v>
      </c>
      <c r="G7" s="39">
        <v>7698.524500719669</v>
      </c>
    </row>
    <row r="8" spans="1:7" ht="11.25" customHeight="1" x14ac:dyDescent="0.2">
      <c r="A8" s="47" t="s">
        <v>25</v>
      </c>
      <c r="B8" s="39">
        <v>0</v>
      </c>
      <c r="C8" s="39">
        <v>7607.8585704000025</v>
      </c>
      <c r="D8" s="39">
        <v>0</v>
      </c>
      <c r="E8" s="39">
        <v>7698.524500719669</v>
      </c>
      <c r="F8" s="39">
        <v>7607.8585704000025</v>
      </c>
      <c r="G8" s="39">
        <v>7698.524500719669</v>
      </c>
    </row>
    <row r="9" spans="1:7" ht="11.25" customHeight="1" x14ac:dyDescent="0.2">
      <c r="A9" s="48" t="s">
        <v>25</v>
      </c>
      <c r="B9" s="39">
        <v>0</v>
      </c>
      <c r="C9" s="39">
        <v>7607.8585704000025</v>
      </c>
      <c r="D9" s="39">
        <v>0</v>
      </c>
      <c r="E9" s="39">
        <v>7698.524500719669</v>
      </c>
      <c r="F9" s="39">
        <v>7607.8585704000025</v>
      </c>
      <c r="G9" s="39">
        <v>7698.524500719669</v>
      </c>
    </row>
    <row r="10" spans="1:7" ht="11.25" customHeight="1" x14ac:dyDescent="0.2">
      <c r="A10" s="49">
        <v>44440</v>
      </c>
      <c r="B10" s="39">
        <v>0</v>
      </c>
      <c r="C10" s="39">
        <v>674.46068640000135</v>
      </c>
      <c r="D10" s="39">
        <v>0</v>
      </c>
      <c r="E10" s="39">
        <v>682.49850742817034</v>
      </c>
      <c r="F10" s="39">
        <v>674.46068640000135</v>
      </c>
      <c r="G10" s="39">
        <v>682.49850742817034</v>
      </c>
    </row>
    <row r="11" spans="1:7" ht="11.25" customHeight="1" x14ac:dyDescent="0.2">
      <c r="A11" s="49">
        <v>44470</v>
      </c>
      <c r="B11" s="39">
        <v>0</v>
      </c>
      <c r="C11" s="39">
        <v>585.29030160000093</v>
      </c>
      <c r="D11" s="39">
        <v>0</v>
      </c>
      <c r="E11" s="39">
        <v>592.26544305545667</v>
      </c>
      <c r="F11" s="39">
        <v>585.29030160000093</v>
      </c>
      <c r="G11" s="39">
        <v>592.26544305545667</v>
      </c>
    </row>
    <row r="12" spans="1:7" ht="11.25" customHeight="1" x14ac:dyDescent="0.2">
      <c r="A12" s="49">
        <v>44501</v>
      </c>
      <c r="B12" s="39">
        <v>0</v>
      </c>
      <c r="C12" s="39">
        <v>564.88561559999994</v>
      </c>
      <c r="D12" s="39">
        <v>0</v>
      </c>
      <c r="E12" s="39">
        <v>571.61758615237557</v>
      </c>
      <c r="F12" s="39">
        <v>564.88561559999994</v>
      </c>
      <c r="G12" s="39">
        <v>571.61758615237557</v>
      </c>
    </row>
    <row r="13" spans="1:7" ht="11.25" customHeight="1" x14ac:dyDescent="0.2">
      <c r="A13" s="49">
        <v>44531</v>
      </c>
      <c r="B13" s="39">
        <v>0</v>
      </c>
      <c r="C13" s="39">
        <v>625.75641719999999</v>
      </c>
      <c r="D13" s="39">
        <v>0</v>
      </c>
      <c r="E13" s="39">
        <v>633.21380973614396</v>
      </c>
      <c r="F13" s="39">
        <v>625.75641719999999</v>
      </c>
      <c r="G13" s="39">
        <v>633.21380973614396</v>
      </c>
    </row>
    <row r="14" spans="1:7" ht="11.25" customHeight="1" x14ac:dyDescent="0.2">
      <c r="A14" s="49">
        <v>44562</v>
      </c>
      <c r="B14" s="39">
        <v>0</v>
      </c>
      <c r="C14" s="39">
        <v>613.8187224000003</v>
      </c>
      <c r="D14" s="39">
        <v>0</v>
      </c>
      <c r="E14" s="39">
        <v>621.13384859471603</v>
      </c>
      <c r="F14" s="39">
        <v>613.8187224000003</v>
      </c>
      <c r="G14" s="39">
        <v>621.13384859471603</v>
      </c>
    </row>
    <row r="15" spans="1:7" ht="11.25" customHeight="1" x14ac:dyDescent="0.2">
      <c r="A15" s="49">
        <v>44593</v>
      </c>
      <c r="B15" s="39">
        <v>0</v>
      </c>
      <c r="C15" s="39">
        <v>660.69229080000082</v>
      </c>
      <c r="D15" s="39">
        <v>0</v>
      </c>
      <c r="E15" s="39">
        <v>668.56602828422228</v>
      </c>
      <c r="F15" s="39">
        <v>660.69229080000082</v>
      </c>
      <c r="G15" s="39">
        <v>668.56602828422228</v>
      </c>
    </row>
    <row r="16" spans="1:7" ht="11.25" customHeight="1" x14ac:dyDescent="0.2">
      <c r="A16" s="49">
        <v>44621</v>
      </c>
      <c r="B16" s="39">
        <v>0</v>
      </c>
      <c r="C16" s="39">
        <v>677.81697119999853</v>
      </c>
      <c r="D16" s="39">
        <v>0</v>
      </c>
      <c r="E16" s="39">
        <v>685.89479043278618</v>
      </c>
      <c r="F16" s="39">
        <v>677.81697119999853</v>
      </c>
      <c r="G16" s="39">
        <v>685.89479043278618</v>
      </c>
    </row>
    <row r="17" spans="1:7" ht="11.25" customHeight="1" x14ac:dyDescent="0.2">
      <c r="A17" s="49">
        <v>44652</v>
      </c>
      <c r="B17" s="39">
        <v>0</v>
      </c>
      <c r="C17" s="39">
        <v>602.49126120000005</v>
      </c>
      <c r="D17" s="39">
        <v>0</v>
      </c>
      <c r="E17" s="39">
        <v>609.67139345412727</v>
      </c>
      <c r="F17" s="39">
        <v>602.49126120000005</v>
      </c>
      <c r="G17" s="39">
        <v>609.67139345412727</v>
      </c>
    </row>
    <row r="18" spans="1:7" ht="11.25" customHeight="1" x14ac:dyDescent="0.2">
      <c r="A18" s="49">
        <v>44682</v>
      </c>
      <c r="B18" s="39">
        <v>0</v>
      </c>
      <c r="C18" s="39">
        <v>626.51920919999941</v>
      </c>
      <c r="D18" s="39">
        <v>0</v>
      </c>
      <c r="E18" s="39">
        <v>633.98569223719301</v>
      </c>
      <c r="F18" s="39">
        <v>626.51920919999941</v>
      </c>
      <c r="G18" s="39">
        <v>633.98569223719301</v>
      </c>
    </row>
    <row r="19" spans="1:7" ht="11.25" customHeight="1" x14ac:dyDescent="0.2">
      <c r="A19" s="49">
        <v>44713</v>
      </c>
      <c r="B19" s="39">
        <v>0</v>
      </c>
      <c r="C19" s="39">
        <v>656.72577239999964</v>
      </c>
      <c r="D19" s="39">
        <v>0</v>
      </c>
      <c r="E19" s="39">
        <v>664.5522392787625</v>
      </c>
      <c r="F19" s="39">
        <v>656.72577239999964</v>
      </c>
      <c r="G19" s="39">
        <v>664.5522392787625</v>
      </c>
    </row>
    <row r="20" spans="1:7" ht="11.25" customHeight="1" x14ac:dyDescent="0.2">
      <c r="A20" s="49">
        <v>44743</v>
      </c>
      <c r="B20" s="39">
        <v>0</v>
      </c>
      <c r="C20" s="39">
        <v>641.16481560000057</v>
      </c>
      <c r="D20" s="39">
        <v>0</v>
      </c>
      <c r="E20" s="39">
        <v>648.80583625734891</v>
      </c>
      <c r="F20" s="39">
        <v>641.16481560000057</v>
      </c>
      <c r="G20" s="39">
        <v>648.80583625734891</v>
      </c>
    </row>
    <row r="21" spans="1:7" ht="11.25" customHeight="1" x14ac:dyDescent="0.2">
      <c r="A21" s="49">
        <v>44774</v>
      </c>
      <c r="B21" s="39">
        <v>0</v>
      </c>
      <c r="C21" s="39">
        <v>678.2365068000006</v>
      </c>
      <c r="D21" s="39">
        <v>0</v>
      </c>
      <c r="E21" s="39">
        <v>686.31932580836576</v>
      </c>
      <c r="F21" s="39">
        <v>678.2365068000006</v>
      </c>
      <c r="G21" s="39">
        <v>686.31932580836576</v>
      </c>
    </row>
    <row r="22" spans="1:7" ht="11.25" customHeight="1" x14ac:dyDescent="0.2">
      <c r="A22" s="41" t="s">
        <v>612</v>
      </c>
      <c r="B22" s="39">
        <v>0</v>
      </c>
      <c r="C22" s="39">
        <v>68671.61556000002</v>
      </c>
      <c r="D22" s="39">
        <v>0</v>
      </c>
      <c r="E22" s="39">
        <v>63091.815677591527</v>
      </c>
      <c r="F22" s="39">
        <v>68671.615560000035</v>
      </c>
      <c r="G22" s="39">
        <v>63091.815677591527</v>
      </c>
    </row>
    <row r="23" spans="1:7" ht="11.25" customHeight="1" x14ac:dyDescent="0.2">
      <c r="A23" s="42" t="s">
        <v>22</v>
      </c>
      <c r="B23" s="39">
        <v>0</v>
      </c>
      <c r="C23" s="39">
        <v>68671.61556000002</v>
      </c>
      <c r="D23" s="39">
        <v>0</v>
      </c>
      <c r="E23" s="39">
        <v>63091.815677591527</v>
      </c>
      <c r="F23" s="39">
        <v>68671.615560000035</v>
      </c>
      <c r="G23" s="39">
        <v>63091.815677591527</v>
      </c>
    </row>
    <row r="24" spans="1:7" ht="11.25" customHeight="1" x14ac:dyDescent="0.2">
      <c r="A24" s="43" t="s">
        <v>23</v>
      </c>
      <c r="B24" s="39">
        <v>0</v>
      </c>
      <c r="C24" s="39">
        <v>68671.61556000002</v>
      </c>
      <c r="D24" s="39">
        <v>0</v>
      </c>
      <c r="E24" s="39">
        <v>63091.815677591527</v>
      </c>
      <c r="F24" s="39">
        <v>68671.615560000035</v>
      </c>
      <c r="G24" s="39">
        <v>63091.815677591527</v>
      </c>
    </row>
    <row r="25" spans="1:7" ht="11.25" customHeight="1" x14ac:dyDescent="0.2">
      <c r="A25" s="44" t="s">
        <v>24</v>
      </c>
      <c r="B25" s="39">
        <v>0</v>
      </c>
      <c r="C25" s="39">
        <v>68671.61556000002</v>
      </c>
      <c r="D25" s="39">
        <v>0</v>
      </c>
      <c r="E25" s="39">
        <v>63091.815677591527</v>
      </c>
      <c r="F25" s="39">
        <v>68671.615560000035</v>
      </c>
      <c r="G25" s="39">
        <v>63091.815677591527</v>
      </c>
    </row>
    <row r="26" spans="1:7" ht="11.25" customHeight="1" x14ac:dyDescent="0.2">
      <c r="A26" s="45" t="s">
        <v>29</v>
      </c>
      <c r="B26" s="39">
        <v>0</v>
      </c>
      <c r="C26" s="39">
        <v>26220.237300000001</v>
      </c>
      <c r="D26" s="39">
        <v>0</v>
      </c>
      <c r="E26" s="39">
        <v>24089.489027320662</v>
      </c>
      <c r="F26" s="39">
        <v>26220.237300000008</v>
      </c>
      <c r="G26" s="39">
        <v>24089.489027320662</v>
      </c>
    </row>
    <row r="27" spans="1:7" ht="11.25" customHeight="1" x14ac:dyDescent="0.2">
      <c r="A27" s="46" t="s">
        <v>25</v>
      </c>
      <c r="B27" s="39">
        <v>0</v>
      </c>
      <c r="C27" s="39">
        <v>26220.237300000001</v>
      </c>
      <c r="D27" s="39">
        <v>0</v>
      </c>
      <c r="E27" s="39">
        <v>24089.489027320662</v>
      </c>
      <c r="F27" s="39">
        <v>26220.237300000008</v>
      </c>
      <c r="G27" s="39">
        <v>24089.489027320662</v>
      </c>
    </row>
    <row r="28" spans="1:7" ht="11.25" customHeight="1" x14ac:dyDescent="0.2">
      <c r="A28" s="47" t="s">
        <v>25</v>
      </c>
      <c r="B28" s="39">
        <v>0</v>
      </c>
      <c r="C28" s="39">
        <v>26220.237300000001</v>
      </c>
      <c r="D28" s="39">
        <v>0</v>
      </c>
      <c r="E28" s="39">
        <v>24089.489027320662</v>
      </c>
      <c r="F28" s="39">
        <v>26220.237300000008</v>
      </c>
      <c r="G28" s="39">
        <v>24089.489027320662</v>
      </c>
    </row>
    <row r="29" spans="1:7" ht="11.25" customHeight="1" x14ac:dyDescent="0.2">
      <c r="A29" s="48" t="s">
        <v>25</v>
      </c>
      <c r="B29" s="39">
        <v>0</v>
      </c>
      <c r="C29" s="39">
        <v>26220.237300000001</v>
      </c>
      <c r="D29" s="39">
        <v>0</v>
      </c>
      <c r="E29" s="39">
        <v>24089.489027320662</v>
      </c>
      <c r="F29" s="39">
        <v>26220.237300000008</v>
      </c>
      <c r="G29" s="39">
        <v>24089.489027320662</v>
      </c>
    </row>
    <row r="30" spans="1:7" ht="11.25" customHeight="1" x14ac:dyDescent="0.2">
      <c r="A30" s="49">
        <v>44440</v>
      </c>
      <c r="B30" s="39">
        <v>0</v>
      </c>
      <c r="C30" s="39">
        <v>1650.7782000000002</v>
      </c>
      <c r="D30" s="39">
        <v>0</v>
      </c>
      <c r="E30" s="39">
        <v>1516.6301845574887</v>
      </c>
      <c r="F30" s="39">
        <v>1650.7782000000002</v>
      </c>
      <c r="G30" s="39">
        <v>1516.6301845574887</v>
      </c>
    </row>
    <row r="31" spans="1:7" ht="11.25" customHeight="1" x14ac:dyDescent="0.2">
      <c r="A31" s="49">
        <v>44470</v>
      </c>
      <c r="B31" s="39">
        <v>0</v>
      </c>
      <c r="C31" s="39">
        <v>1684.6983</v>
      </c>
      <c r="D31" s="39">
        <v>0</v>
      </c>
      <c r="E31" s="39">
        <v>1547.7938184867521</v>
      </c>
      <c r="F31" s="39">
        <v>1684.6983</v>
      </c>
      <c r="G31" s="39">
        <v>1547.7938184867521</v>
      </c>
    </row>
    <row r="32" spans="1:7" ht="11.25" customHeight="1" x14ac:dyDescent="0.2">
      <c r="A32" s="49">
        <v>44501</v>
      </c>
      <c r="B32" s="39">
        <v>0</v>
      </c>
      <c r="C32" s="39">
        <v>1718.6184000000001</v>
      </c>
      <c r="D32" s="39">
        <v>0</v>
      </c>
      <c r="E32" s="39">
        <v>1578.9574524160155</v>
      </c>
      <c r="F32" s="39">
        <v>1718.6184000000001</v>
      </c>
      <c r="G32" s="39">
        <v>1578.9574524160155</v>
      </c>
    </row>
    <row r="33" spans="1:7" ht="11.25" customHeight="1" x14ac:dyDescent="0.2">
      <c r="A33" s="49">
        <v>44531</v>
      </c>
      <c r="B33" s="39">
        <v>0</v>
      </c>
      <c r="C33" s="39">
        <v>1888.2189000000001</v>
      </c>
      <c r="D33" s="39">
        <v>0</v>
      </c>
      <c r="E33" s="39">
        <v>1734.7756220623328</v>
      </c>
      <c r="F33" s="39">
        <v>1888.2189000000001</v>
      </c>
      <c r="G33" s="39">
        <v>1734.7756220623328</v>
      </c>
    </row>
    <row r="34" spans="1:7" ht="11.25" customHeight="1" x14ac:dyDescent="0.2">
      <c r="A34" s="49">
        <v>44562</v>
      </c>
      <c r="B34" s="39">
        <v>0</v>
      </c>
      <c r="C34" s="39">
        <v>1842.9921000000002</v>
      </c>
      <c r="D34" s="39">
        <v>0</v>
      </c>
      <c r="E34" s="39">
        <v>1693.2241101566483</v>
      </c>
      <c r="F34" s="39">
        <v>1842.9921000000002</v>
      </c>
      <c r="G34" s="39">
        <v>1693.2241101566483</v>
      </c>
    </row>
    <row r="35" spans="1:7" ht="11.25" customHeight="1" x14ac:dyDescent="0.2">
      <c r="A35" s="49">
        <v>44593</v>
      </c>
      <c r="B35" s="39">
        <v>0</v>
      </c>
      <c r="C35" s="39">
        <v>2103.0462000000002</v>
      </c>
      <c r="D35" s="39">
        <v>0</v>
      </c>
      <c r="E35" s="39">
        <v>1932.145303614335</v>
      </c>
      <c r="F35" s="39">
        <v>2103.0462000000002</v>
      </c>
      <c r="G35" s="39">
        <v>1932.145303614335</v>
      </c>
    </row>
    <row r="36" spans="1:7" ht="11.25" customHeight="1" x14ac:dyDescent="0.2">
      <c r="A36" s="49">
        <v>44621</v>
      </c>
      <c r="B36" s="39">
        <v>0</v>
      </c>
      <c r="C36" s="39">
        <v>2555.3142000000003</v>
      </c>
      <c r="D36" s="39">
        <v>0</v>
      </c>
      <c r="E36" s="39">
        <v>2347.6604226711811</v>
      </c>
      <c r="F36" s="39">
        <v>2555.3142000000003</v>
      </c>
      <c r="G36" s="39">
        <v>2347.6604226711811</v>
      </c>
    </row>
    <row r="37" spans="1:7" ht="11.25" customHeight="1" x14ac:dyDescent="0.2">
      <c r="A37" s="49">
        <v>44652</v>
      </c>
      <c r="B37" s="39">
        <v>0</v>
      </c>
      <c r="C37" s="39">
        <v>2634.4611000000004</v>
      </c>
      <c r="D37" s="39">
        <v>0</v>
      </c>
      <c r="E37" s="39">
        <v>2420.3755685061292</v>
      </c>
      <c r="F37" s="39">
        <v>2634.4611000000004</v>
      </c>
      <c r="G37" s="39">
        <v>2420.3755685061292</v>
      </c>
    </row>
    <row r="38" spans="1:7" ht="11.25" customHeight="1" x14ac:dyDescent="0.2">
      <c r="A38" s="49">
        <v>44682</v>
      </c>
      <c r="B38" s="39">
        <v>0</v>
      </c>
      <c r="C38" s="39">
        <v>2702.3013000000001</v>
      </c>
      <c r="D38" s="39">
        <v>0</v>
      </c>
      <c r="E38" s="39">
        <v>2482.7028363646559</v>
      </c>
      <c r="F38" s="39">
        <v>2702.3013000000001</v>
      </c>
      <c r="G38" s="39">
        <v>2482.7028363646559</v>
      </c>
    </row>
    <row r="39" spans="1:7" ht="11.25" customHeight="1" x14ac:dyDescent="0.2">
      <c r="A39" s="49">
        <v>44713</v>
      </c>
      <c r="B39" s="39">
        <v>0</v>
      </c>
      <c r="C39" s="39">
        <v>2487.4740000000002</v>
      </c>
      <c r="D39" s="39">
        <v>0</v>
      </c>
      <c r="E39" s="39">
        <v>2285.3331548126539</v>
      </c>
      <c r="F39" s="39">
        <v>2487.4740000000002</v>
      </c>
      <c r="G39" s="39">
        <v>2285.3331548126539</v>
      </c>
    </row>
    <row r="40" spans="1:7" ht="11.25" customHeight="1" x14ac:dyDescent="0.2">
      <c r="A40" s="49">
        <v>44743</v>
      </c>
      <c r="B40" s="39">
        <v>0</v>
      </c>
      <c r="C40" s="39">
        <v>2510.0874000000003</v>
      </c>
      <c r="D40" s="39">
        <v>0</v>
      </c>
      <c r="E40" s="39">
        <v>2306.1089107654966</v>
      </c>
      <c r="F40" s="39">
        <v>2510.0874000000003</v>
      </c>
      <c r="G40" s="39">
        <v>2306.1089107654966</v>
      </c>
    </row>
    <row r="41" spans="1:7" ht="11.25" customHeight="1" x14ac:dyDescent="0.2">
      <c r="A41" s="49">
        <v>44774</v>
      </c>
      <c r="B41" s="39">
        <v>0</v>
      </c>
      <c r="C41" s="39">
        <v>2442.2472000000002</v>
      </c>
      <c r="D41" s="39">
        <v>0</v>
      </c>
      <c r="E41" s="39">
        <v>2243.7816429069699</v>
      </c>
      <c r="F41" s="39">
        <v>2442.2472000000002</v>
      </c>
      <c r="G41" s="39">
        <v>2243.7816429069699</v>
      </c>
    </row>
    <row r="42" spans="1:7" ht="11.25" customHeight="1" x14ac:dyDescent="0.2">
      <c r="A42" s="45" t="s">
        <v>30</v>
      </c>
      <c r="B42" s="39">
        <v>0</v>
      </c>
      <c r="C42" s="39">
        <v>34678.173600000009</v>
      </c>
      <c r="D42" s="39">
        <v>0</v>
      </c>
      <c r="E42" s="39">
        <v>31860.420821220334</v>
      </c>
      <c r="F42" s="39">
        <v>34678.173600000009</v>
      </c>
      <c r="G42" s="39">
        <v>31860.420821220334</v>
      </c>
    </row>
    <row r="43" spans="1:7" ht="11.25" customHeight="1" x14ac:dyDescent="0.2">
      <c r="A43" s="46" t="s">
        <v>25</v>
      </c>
      <c r="B43" s="39">
        <v>0</v>
      </c>
      <c r="C43" s="39">
        <v>34678.173600000009</v>
      </c>
      <c r="D43" s="39">
        <v>0</v>
      </c>
      <c r="E43" s="39">
        <v>31860.420821220334</v>
      </c>
      <c r="F43" s="39">
        <v>34678.173600000009</v>
      </c>
      <c r="G43" s="39">
        <v>31860.420821220334</v>
      </c>
    </row>
    <row r="44" spans="1:7" ht="11.25" customHeight="1" x14ac:dyDescent="0.2">
      <c r="A44" s="47" t="s">
        <v>25</v>
      </c>
      <c r="B44" s="39">
        <v>0</v>
      </c>
      <c r="C44" s="39">
        <v>34678.173600000009</v>
      </c>
      <c r="D44" s="39">
        <v>0</v>
      </c>
      <c r="E44" s="39">
        <v>31860.420821220334</v>
      </c>
      <c r="F44" s="39">
        <v>34678.173600000009</v>
      </c>
      <c r="G44" s="39">
        <v>31860.420821220334</v>
      </c>
    </row>
    <row r="45" spans="1:7" ht="11.25" customHeight="1" x14ac:dyDescent="0.2">
      <c r="A45" s="48" t="s">
        <v>25</v>
      </c>
      <c r="B45" s="39">
        <v>0</v>
      </c>
      <c r="C45" s="39">
        <v>34678.173600000009</v>
      </c>
      <c r="D45" s="39">
        <v>0</v>
      </c>
      <c r="E45" s="39">
        <v>31860.420821220334</v>
      </c>
      <c r="F45" s="39">
        <v>34678.173600000009</v>
      </c>
      <c r="G45" s="39">
        <v>31860.420821220334</v>
      </c>
    </row>
    <row r="46" spans="1:7" ht="11.25" customHeight="1" x14ac:dyDescent="0.2">
      <c r="A46" s="49">
        <v>44440</v>
      </c>
      <c r="B46" s="39">
        <v>0</v>
      </c>
      <c r="C46" s="39">
        <v>2175.7353300000004</v>
      </c>
      <c r="D46" s="39">
        <v>0</v>
      </c>
      <c r="E46" s="39">
        <v>1998.9473496780895</v>
      </c>
      <c r="F46" s="39">
        <v>2175.7353300000004</v>
      </c>
      <c r="G46" s="39">
        <v>1998.9473496780895</v>
      </c>
    </row>
    <row r="47" spans="1:7" ht="11.25" customHeight="1" x14ac:dyDescent="0.2">
      <c r="A47" s="49">
        <v>44470</v>
      </c>
      <c r="B47" s="39">
        <v>0</v>
      </c>
      <c r="C47" s="39">
        <v>2221.1936100000007</v>
      </c>
      <c r="D47" s="39">
        <v>0</v>
      </c>
      <c r="E47" s="39">
        <v>2040.7119462602136</v>
      </c>
      <c r="F47" s="39">
        <v>2221.1936100000007</v>
      </c>
      <c r="G47" s="39">
        <v>2040.7119462602136</v>
      </c>
    </row>
    <row r="48" spans="1:7" ht="11.25" customHeight="1" x14ac:dyDescent="0.2">
      <c r="A48" s="49">
        <v>44501</v>
      </c>
      <c r="B48" s="39">
        <v>0</v>
      </c>
      <c r="C48" s="39">
        <v>2286.3659400000006</v>
      </c>
      <c r="D48" s="39">
        <v>0</v>
      </c>
      <c r="E48" s="39">
        <v>2100.5887403396873</v>
      </c>
      <c r="F48" s="39">
        <v>2286.3659400000006</v>
      </c>
      <c r="G48" s="39">
        <v>2100.5887403396873</v>
      </c>
    </row>
    <row r="49" spans="1:7" ht="11.25" customHeight="1" x14ac:dyDescent="0.2">
      <c r="A49" s="49">
        <v>44531</v>
      </c>
      <c r="B49" s="39">
        <v>0</v>
      </c>
      <c r="C49" s="39">
        <v>2553.3173700000007</v>
      </c>
      <c r="D49" s="39">
        <v>0</v>
      </c>
      <c r="E49" s="39">
        <v>2345.8492029214462</v>
      </c>
      <c r="F49" s="39">
        <v>2553.3173700000007</v>
      </c>
      <c r="G49" s="39">
        <v>2345.8492029214462</v>
      </c>
    </row>
    <row r="50" spans="1:7" ht="11.25" customHeight="1" x14ac:dyDescent="0.2">
      <c r="A50" s="49">
        <v>44562</v>
      </c>
      <c r="B50" s="39">
        <v>0</v>
      </c>
      <c r="C50" s="39">
        <v>2493.4794300000008</v>
      </c>
      <c r="D50" s="39">
        <v>0</v>
      </c>
      <c r="E50" s="39">
        <v>2290.873356400079</v>
      </c>
      <c r="F50" s="39">
        <v>2493.4794300000008</v>
      </c>
      <c r="G50" s="39">
        <v>2290.873356400079</v>
      </c>
    </row>
    <row r="51" spans="1:7" ht="11.25" customHeight="1" x14ac:dyDescent="0.2">
      <c r="A51" s="49">
        <v>44593</v>
      </c>
      <c r="B51" s="39">
        <v>0</v>
      </c>
      <c r="C51" s="39">
        <v>2859.4649700000009</v>
      </c>
      <c r="D51" s="39">
        <v>0</v>
      </c>
      <c r="E51" s="39">
        <v>2627.1209758214654</v>
      </c>
      <c r="F51" s="39">
        <v>2859.4649700000009</v>
      </c>
      <c r="G51" s="39">
        <v>2627.1209758214654</v>
      </c>
    </row>
    <row r="52" spans="1:7" ht="11.25" customHeight="1" x14ac:dyDescent="0.2">
      <c r="A52" s="49">
        <v>44621</v>
      </c>
      <c r="B52" s="39">
        <v>0</v>
      </c>
      <c r="C52" s="39">
        <v>3427.6934700000011</v>
      </c>
      <c r="D52" s="39">
        <v>0</v>
      </c>
      <c r="E52" s="39">
        <v>3149.1784330980158</v>
      </c>
      <c r="F52" s="39">
        <v>3427.6934700000011</v>
      </c>
      <c r="G52" s="39">
        <v>3149.1784330980158</v>
      </c>
    </row>
    <row r="53" spans="1:7" ht="11.25" customHeight="1" x14ac:dyDescent="0.2">
      <c r="A53" s="49">
        <v>44652</v>
      </c>
      <c r="B53" s="39">
        <v>0</v>
      </c>
      <c r="C53" s="39">
        <v>3505.1580900000008</v>
      </c>
      <c r="D53" s="39">
        <v>0</v>
      </c>
      <c r="E53" s="39">
        <v>3220.3487150287779</v>
      </c>
      <c r="F53" s="39">
        <v>3505.1580900000008</v>
      </c>
      <c r="G53" s="39">
        <v>3220.3487150287779</v>
      </c>
    </row>
    <row r="54" spans="1:7" ht="11.25" customHeight="1" x14ac:dyDescent="0.2">
      <c r="A54" s="49">
        <v>44682</v>
      </c>
      <c r="B54" s="39">
        <v>0</v>
      </c>
      <c r="C54" s="39">
        <v>3528.3510900000006</v>
      </c>
      <c r="D54" s="39">
        <v>0</v>
      </c>
      <c r="E54" s="39">
        <v>3241.6571826727186</v>
      </c>
      <c r="F54" s="39">
        <v>3528.3510900000006</v>
      </c>
      <c r="G54" s="39">
        <v>3241.6571826727186</v>
      </c>
    </row>
    <row r="55" spans="1:7" ht="11.25" customHeight="1" x14ac:dyDescent="0.2">
      <c r="A55" s="49">
        <v>44713</v>
      </c>
      <c r="B55" s="39">
        <v>0</v>
      </c>
      <c r="C55" s="39">
        <v>3215.9413800000007</v>
      </c>
      <c r="D55" s="39">
        <v>0</v>
      </c>
      <c r="E55" s="39">
        <v>2954.6321235088358</v>
      </c>
      <c r="F55" s="39">
        <v>3215.9413800000007</v>
      </c>
      <c r="G55" s="39">
        <v>2954.6321235088358</v>
      </c>
    </row>
    <row r="56" spans="1:7" ht="11.25" customHeight="1" x14ac:dyDescent="0.2">
      <c r="A56" s="49">
        <v>44743</v>
      </c>
      <c r="B56" s="39">
        <v>0</v>
      </c>
      <c r="C56" s="39">
        <v>3223.5950700000008</v>
      </c>
      <c r="D56" s="39">
        <v>0</v>
      </c>
      <c r="E56" s="39">
        <v>2961.6639178313362</v>
      </c>
      <c r="F56" s="39">
        <v>3223.5950700000008</v>
      </c>
      <c r="G56" s="39">
        <v>2961.6639178313362</v>
      </c>
    </row>
    <row r="57" spans="1:7" ht="11.25" customHeight="1" x14ac:dyDescent="0.2">
      <c r="A57" s="49">
        <v>44774</v>
      </c>
      <c r="B57" s="39">
        <v>0</v>
      </c>
      <c r="C57" s="39">
        <v>3187.8778500000008</v>
      </c>
      <c r="D57" s="39">
        <v>0</v>
      </c>
      <c r="E57" s="39">
        <v>2928.8488776596673</v>
      </c>
      <c r="F57" s="39">
        <v>3187.8778500000008</v>
      </c>
      <c r="G57" s="39">
        <v>2928.8488776596673</v>
      </c>
    </row>
    <row r="58" spans="1:7" ht="11.25" customHeight="1" x14ac:dyDescent="0.2">
      <c r="A58" s="45" t="s">
        <v>31</v>
      </c>
      <c r="B58" s="39">
        <v>0</v>
      </c>
      <c r="C58" s="39">
        <v>7773.2046600000021</v>
      </c>
      <c r="D58" s="39">
        <v>0</v>
      </c>
      <c r="E58" s="39">
        <v>7141.90582905054</v>
      </c>
      <c r="F58" s="39">
        <v>7773.2046600000021</v>
      </c>
      <c r="G58" s="39">
        <v>7141.90582905054</v>
      </c>
    </row>
    <row r="59" spans="1:7" ht="11.25" customHeight="1" x14ac:dyDescent="0.2">
      <c r="A59" s="46" t="s">
        <v>25</v>
      </c>
      <c r="B59" s="39">
        <v>0</v>
      </c>
      <c r="C59" s="39">
        <v>7773.2046600000021</v>
      </c>
      <c r="D59" s="39">
        <v>0</v>
      </c>
      <c r="E59" s="39">
        <v>7141.90582905054</v>
      </c>
      <c r="F59" s="39">
        <v>7773.2046600000021</v>
      </c>
      <c r="G59" s="39">
        <v>7141.90582905054</v>
      </c>
    </row>
    <row r="60" spans="1:7" ht="11.25" customHeight="1" x14ac:dyDescent="0.2">
      <c r="A60" s="47" t="s">
        <v>25</v>
      </c>
      <c r="B60" s="39">
        <v>0</v>
      </c>
      <c r="C60" s="39">
        <v>7773.2046600000021</v>
      </c>
      <c r="D60" s="39">
        <v>0</v>
      </c>
      <c r="E60" s="39">
        <v>7141.90582905054</v>
      </c>
      <c r="F60" s="39">
        <v>7773.2046600000021</v>
      </c>
      <c r="G60" s="39">
        <v>7141.90582905054</v>
      </c>
    </row>
    <row r="61" spans="1:7" ht="11.25" customHeight="1" x14ac:dyDescent="0.2">
      <c r="A61" s="48" t="s">
        <v>25</v>
      </c>
      <c r="B61" s="39">
        <v>0</v>
      </c>
      <c r="C61" s="39">
        <v>7773.2046600000021</v>
      </c>
      <c r="D61" s="39">
        <v>0</v>
      </c>
      <c r="E61" s="39">
        <v>7141.90582905054</v>
      </c>
      <c r="F61" s="39">
        <v>7773.2046600000021</v>
      </c>
      <c r="G61" s="39">
        <v>7141.90582905054</v>
      </c>
    </row>
    <row r="62" spans="1:7" ht="11.25" customHeight="1" x14ac:dyDescent="0.2">
      <c r="A62" s="49">
        <v>44440</v>
      </c>
      <c r="B62" s="39">
        <v>0</v>
      </c>
      <c r="C62" s="39">
        <v>500.30942000000016</v>
      </c>
      <c r="D62" s="39">
        <v>0</v>
      </c>
      <c r="E62" s="39">
        <v>459.67691824891358</v>
      </c>
      <c r="F62" s="39">
        <v>500.30942000000016</v>
      </c>
      <c r="G62" s="39">
        <v>459.67691824891358</v>
      </c>
    </row>
    <row r="63" spans="1:7" ht="11.25" customHeight="1" x14ac:dyDescent="0.2">
      <c r="A63" s="49">
        <v>44470</v>
      </c>
      <c r="B63" s="39">
        <v>0</v>
      </c>
      <c r="C63" s="39">
        <v>536.02510000000018</v>
      </c>
      <c r="D63" s="39">
        <v>0</v>
      </c>
      <c r="E63" s="39">
        <v>492.49195842058248</v>
      </c>
      <c r="F63" s="39">
        <v>536.02510000000018</v>
      </c>
      <c r="G63" s="39">
        <v>492.49195842058248</v>
      </c>
    </row>
    <row r="64" spans="1:7" ht="11.25" customHeight="1" x14ac:dyDescent="0.2">
      <c r="A64" s="49">
        <v>44501</v>
      </c>
      <c r="B64" s="39">
        <v>0</v>
      </c>
      <c r="C64" s="39">
        <v>508.6005600000002</v>
      </c>
      <c r="D64" s="39">
        <v>0</v>
      </c>
      <c r="E64" s="39">
        <v>467.29469543162247</v>
      </c>
      <c r="F64" s="39">
        <v>508.6005600000002</v>
      </c>
      <c r="G64" s="39">
        <v>467.29469543162247</v>
      </c>
    </row>
    <row r="65" spans="1:7" ht="11.25" customHeight="1" x14ac:dyDescent="0.2">
      <c r="A65" s="49">
        <v>44531</v>
      </c>
      <c r="B65" s="39">
        <v>0</v>
      </c>
      <c r="C65" s="39">
        <v>651.8111600000002</v>
      </c>
      <c r="D65" s="39">
        <v>0</v>
      </c>
      <c r="E65" s="39">
        <v>598.87448313295715</v>
      </c>
      <c r="F65" s="39">
        <v>651.8111600000002</v>
      </c>
      <c r="G65" s="39">
        <v>598.87448313295715</v>
      </c>
    </row>
    <row r="66" spans="1:7" ht="11.25" customHeight="1" x14ac:dyDescent="0.2">
      <c r="A66" s="49">
        <v>44562</v>
      </c>
      <c r="B66" s="39">
        <v>0</v>
      </c>
      <c r="C66" s="39">
        <v>607.39848000000018</v>
      </c>
      <c r="D66" s="39">
        <v>0</v>
      </c>
      <c r="E66" s="39">
        <v>558.06876759481042</v>
      </c>
      <c r="F66" s="39">
        <v>607.39848000000018</v>
      </c>
      <c r="G66" s="39">
        <v>558.06876759481042</v>
      </c>
    </row>
    <row r="67" spans="1:7" ht="11.25" customHeight="1" x14ac:dyDescent="0.2">
      <c r="A67" s="49">
        <v>44593</v>
      </c>
      <c r="B67" s="39">
        <v>0</v>
      </c>
      <c r="C67" s="39">
        <v>688.04866000000027</v>
      </c>
      <c r="D67" s="39">
        <v>0</v>
      </c>
      <c r="E67" s="39">
        <v>632.16896382661469</v>
      </c>
      <c r="F67" s="39">
        <v>688.04866000000027</v>
      </c>
      <c r="G67" s="39">
        <v>632.16896382661469</v>
      </c>
    </row>
    <row r="68" spans="1:7" ht="11.25" customHeight="1" x14ac:dyDescent="0.2">
      <c r="A68" s="49">
        <v>44621</v>
      </c>
      <c r="B68" s="39">
        <v>0</v>
      </c>
      <c r="C68" s="39">
        <v>847.72558000000026</v>
      </c>
      <c r="D68" s="39">
        <v>0</v>
      </c>
      <c r="E68" s="39">
        <v>778.87776355514734</v>
      </c>
      <c r="F68" s="39">
        <v>847.72558000000026</v>
      </c>
      <c r="G68" s="39">
        <v>778.87776355514734</v>
      </c>
    </row>
    <row r="69" spans="1:7" ht="11.25" customHeight="1" x14ac:dyDescent="0.2">
      <c r="A69" s="49">
        <v>44652</v>
      </c>
      <c r="B69" s="39">
        <v>0</v>
      </c>
      <c r="C69" s="39">
        <v>806.50180000000023</v>
      </c>
      <c r="D69" s="39">
        <v>0</v>
      </c>
      <c r="E69" s="39">
        <v>741.0019623180425</v>
      </c>
      <c r="F69" s="39">
        <v>806.50180000000023</v>
      </c>
      <c r="G69" s="39">
        <v>741.0019623180425</v>
      </c>
    </row>
    <row r="70" spans="1:7" ht="11.25" customHeight="1" x14ac:dyDescent="0.2">
      <c r="A70" s="49">
        <v>44682</v>
      </c>
      <c r="B70" s="39">
        <v>0</v>
      </c>
      <c r="C70" s="39">
        <v>783.01990000000023</v>
      </c>
      <c r="D70" s="39">
        <v>0</v>
      </c>
      <c r="E70" s="39">
        <v>719.42713882855242</v>
      </c>
      <c r="F70" s="39">
        <v>783.01990000000023</v>
      </c>
      <c r="G70" s="39">
        <v>719.42713882855242</v>
      </c>
    </row>
    <row r="71" spans="1:7" ht="11.25" customHeight="1" x14ac:dyDescent="0.2">
      <c r="A71" s="49">
        <v>44713</v>
      </c>
      <c r="B71" s="39">
        <v>0</v>
      </c>
      <c r="C71" s="39">
        <v>625.08238000000028</v>
      </c>
      <c r="D71" s="39">
        <v>0</v>
      </c>
      <c r="E71" s="39">
        <v>574.31647417331533</v>
      </c>
      <c r="F71" s="39">
        <v>625.08238000000028</v>
      </c>
      <c r="G71" s="39">
        <v>574.31647417331533</v>
      </c>
    </row>
    <row r="72" spans="1:7" ht="11.25" customHeight="1" x14ac:dyDescent="0.2">
      <c r="A72" s="49">
        <v>44743</v>
      </c>
      <c r="B72" s="39">
        <v>0</v>
      </c>
      <c r="C72" s="39">
        <v>625.72016000000019</v>
      </c>
      <c r="D72" s="39">
        <v>0</v>
      </c>
      <c r="E72" s="39">
        <v>574.90245703352366</v>
      </c>
      <c r="F72" s="39">
        <v>625.72016000000019</v>
      </c>
      <c r="G72" s="39">
        <v>574.90245703352366</v>
      </c>
    </row>
    <row r="73" spans="1:7" ht="11.25" customHeight="1" x14ac:dyDescent="0.2">
      <c r="A73" s="49">
        <v>44774</v>
      </c>
      <c r="B73" s="39">
        <v>0</v>
      </c>
      <c r="C73" s="39">
        <v>592.96146000000022</v>
      </c>
      <c r="D73" s="39">
        <v>0</v>
      </c>
      <c r="E73" s="39">
        <v>544.80424648645726</v>
      </c>
      <c r="F73" s="39">
        <v>592.96146000000022</v>
      </c>
      <c r="G73" s="39">
        <v>544.80424648645726</v>
      </c>
    </row>
    <row r="74" spans="1:7" ht="11.25" customHeight="1" x14ac:dyDescent="0.2">
      <c r="A74" s="45" t="s">
        <v>32</v>
      </c>
      <c r="B74" s="39">
        <v>0</v>
      </c>
      <c r="C74" s="39">
        <v>0</v>
      </c>
      <c r="D74" s="39">
        <v>0</v>
      </c>
      <c r="E74" s="39">
        <v>1.0416840723337372E-12</v>
      </c>
      <c r="F74" s="39">
        <v>0</v>
      </c>
      <c r="G74" s="39">
        <v>1.0416840723337372E-12</v>
      </c>
    </row>
    <row r="75" spans="1:7" ht="11.25" customHeight="1" x14ac:dyDescent="0.2">
      <c r="A75" s="46" t="s">
        <v>25</v>
      </c>
      <c r="B75" s="39">
        <v>0</v>
      </c>
      <c r="C75" s="39">
        <v>0</v>
      </c>
      <c r="D75" s="39">
        <v>0</v>
      </c>
      <c r="E75" s="39">
        <v>1.0416840723337372E-12</v>
      </c>
      <c r="F75" s="39">
        <v>0</v>
      </c>
      <c r="G75" s="39">
        <v>1.0416840723337372E-12</v>
      </c>
    </row>
    <row r="76" spans="1:7" ht="11.25" customHeight="1" x14ac:dyDescent="0.2">
      <c r="A76" s="47" t="s">
        <v>25</v>
      </c>
      <c r="B76" s="39">
        <v>0</v>
      </c>
      <c r="C76" s="39">
        <v>0</v>
      </c>
      <c r="D76" s="39">
        <v>0</v>
      </c>
      <c r="E76" s="39">
        <v>1.0416840723337372E-12</v>
      </c>
      <c r="F76" s="39">
        <v>0</v>
      </c>
      <c r="G76" s="39">
        <v>1.0416840723337372E-12</v>
      </c>
    </row>
    <row r="77" spans="1:7" ht="11.25" customHeight="1" x14ac:dyDescent="0.2">
      <c r="A77" s="48" t="s">
        <v>25</v>
      </c>
      <c r="B77" s="39">
        <v>0</v>
      </c>
      <c r="C77" s="39">
        <v>0</v>
      </c>
      <c r="D77" s="39">
        <v>0</v>
      </c>
      <c r="E77" s="39">
        <v>1.0416840723337372E-12</v>
      </c>
      <c r="F77" s="39">
        <v>0</v>
      </c>
      <c r="G77" s="39">
        <v>1.0416840723337372E-12</v>
      </c>
    </row>
    <row r="78" spans="1:7" ht="11.25" customHeight="1" x14ac:dyDescent="0.2">
      <c r="A78" s="49">
        <v>44440</v>
      </c>
      <c r="B78" s="39">
        <v>0</v>
      </c>
      <c r="C78" s="39">
        <v>0</v>
      </c>
      <c r="D78" s="39">
        <v>0</v>
      </c>
      <c r="E78" s="39">
        <v>6.6080474425689322E-14</v>
      </c>
      <c r="F78" s="39">
        <v>0</v>
      </c>
      <c r="G78" s="39">
        <v>6.6080474425689322E-14</v>
      </c>
    </row>
    <row r="79" spans="1:7" ht="11.25" customHeight="1" x14ac:dyDescent="0.2">
      <c r="A79" s="49">
        <v>44470</v>
      </c>
      <c r="B79" s="39">
        <v>0</v>
      </c>
      <c r="C79" s="39">
        <v>0</v>
      </c>
      <c r="D79" s="39">
        <v>0</v>
      </c>
      <c r="E79" s="39">
        <v>8.762413017393556E-14</v>
      </c>
      <c r="F79" s="39">
        <v>0</v>
      </c>
      <c r="G79" s="39">
        <v>8.762413017393556E-14</v>
      </c>
    </row>
    <row r="80" spans="1:7" ht="11.25" customHeight="1" x14ac:dyDescent="0.2">
      <c r="A80" s="49">
        <v>44501</v>
      </c>
      <c r="B80" s="39">
        <v>0</v>
      </c>
      <c r="C80" s="39">
        <v>0</v>
      </c>
      <c r="D80" s="39">
        <v>0</v>
      </c>
      <c r="E80" s="39">
        <v>6.6876282289740635E-14</v>
      </c>
      <c r="F80" s="39">
        <v>0</v>
      </c>
      <c r="G80" s="39">
        <v>6.6876282289740635E-14</v>
      </c>
    </row>
    <row r="81" spans="1:7" ht="11.25" customHeight="1" x14ac:dyDescent="0.2">
      <c r="A81" s="49">
        <v>44531</v>
      </c>
      <c r="B81" s="39">
        <v>0</v>
      </c>
      <c r="C81" s="39">
        <v>0</v>
      </c>
      <c r="D81" s="39">
        <v>0</v>
      </c>
      <c r="E81" s="39">
        <v>1.0049916454590857E-13</v>
      </c>
      <c r="F81" s="39">
        <v>0</v>
      </c>
      <c r="G81" s="39">
        <v>1.0049916454590857E-13</v>
      </c>
    </row>
    <row r="82" spans="1:7" ht="11.25" customHeight="1" x14ac:dyDescent="0.2">
      <c r="A82" s="49">
        <v>44562</v>
      </c>
      <c r="B82" s="39">
        <v>0</v>
      </c>
      <c r="C82" s="39">
        <v>0</v>
      </c>
      <c r="D82" s="39">
        <v>0</v>
      </c>
      <c r="E82" s="39">
        <v>9.6520125225652007E-14</v>
      </c>
      <c r="F82" s="39">
        <v>0</v>
      </c>
      <c r="G82" s="39">
        <v>9.6520125225652007E-14</v>
      </c>
    </row>
    <row r="83" spans="1:7" ht="11.25" customHeight="1" x14ac:dyDescent="0.2">
      <c r="A83" s="49">
        <v>44593</v>
      </c>
      <c r="B83" s="39">
        <v>0</v>
      </c>
      <c r="C83" s="39">
        <v>0</v>
      </c>
      <c r="D83" s="39">
        <v>0</v>
      </c>
      <c r="E83" s="39">
        <v>9.7287511380272919E-14</v>
      </c>
      <c r="F83" s="39">
        <v>0</v>
      </c>
      <c r="G83" s="39">
        <v>9.7287511380272919E-14</v>
      </c>
    </row>
    <row r="84" spans="1:7" ht="11.25" customHeight="1" x14ac:dyDescent="0.2">
      <c r="A84" s="49">
        <v>44621</v>
      </c>
      <c r="B84" s="39">
        <v>0</v>
      </c>
      <c r="C84" s="39">
        <v>0</v>
      </c>
      <c r="D84" s="39">
        <v>0</v>
      </c>
      <c r="E84" s="39">
        <v>1.3750423022429459E-13</v>
      </c>
      <c r="F84" s="39">
        <v>0</v>
      </c>
      <c r="G84" s="39">
        <v>1.3750423022429459E-13</v>
      </c>
    </row>
    <row r="85" spans="1:7" ht="11.25" customHeight="1" x14ac:dyDescent="0.2">
      <c r="A85" s="49">
        <v>44652</v>
      </c>
      <c r="B85" s="39">
        <v>0</v>
      </c>
      <c r="C85" s="39">
        <v>0</v>
      </c>
      <c r="D85" s="39">
        <v>0</v>
      </c>
      <c r="E85" s="39">
        <v>1.2454393072403035E-13</v>
      </c>
      <c r="F85" s="39">
        <v>0</v>
      </c>
      <c r="G85" s="39">
        <v>1.2454393072403035E-13</v>
      </c>
    </row>
    <row r="86" spans="1:7" ht="11.25" customHeight="1" x14ac:dyDescent="0.2">
      <c r="A86" s="49">
        <v>44682</v>
      </c>
      <c r="B86" s="39">
        <v>0</v>
      </c>
      <c r="C86" s="39">
        <v>0</v>
      </c>
      <c r="D86" s="39">
        <v>0</v>
      </c>
      <c r="E86" s="39">
        <v>7.6312289820634761E-14</v>
      </c>
      <c r="F86" s="39">
        <v>0</v>
      </c>
      <c r="G86" s="39">
        <v>7.6312289820634761E-14</v>
      </c>
    </row>
    <row r="87" spans="1:7" ht="11.25" customHeight="1" x14ac:dyDescent="0.2">
      <c r="A87" s="49">
        <v>44713</v>
      </c>
      <c r="B87" s="39">
        <v>0</v>
      </c>
      <c r="C87" s="39">
        <v>0</v>
      </c>
      <c r="D87" s="39">
        <v>0</v>
      </c>
      <c r="E87" s="39">
        <v>5.6729732023086399E-14</v>
      </c>
      <c r="F87" s="39">
        <v>0</v>
      </c>
      <c r="G87" s="39">
        <v>5.6729732023086399E-14</v>
      </c>
    </row>
    <row r="88" spans="1:7" ht="11.25" customHeight="1" x14ac:dyDescent="0.2">
      <c r="A88" s="49">
        <v>44743</v>
      </c>
      <c r="B88" s="39">
        <v>0</v>
      </c>
      <c r="C88" s="39">
        <v>0</v>
      </c>
      <c r="D88" s="39">
        <v>0</v>
      </c>
      <c r="E88" s="39">
        <v>5.8662408264353873E-14</v>
      </c>
      <c r="F88" s="39">
        <v>0</v>
      </c>
      <c r="G88" s="39">
        <v>5.8662408264353873E-14</v>
      </c>
    </row>
    <row r="89" spans="1:7" ht="11.25" customHeight="1" x14ac:dyDescent="0.2">
      <c r="A89" s="49">
        <v>44774</v>
      </c>
      <c r="B89" s="39">
        <v>0</v>
      </c>
      <c r="C89" s="39">
        <v>0</v>
      </c>
      <c r="D89" s="39">
        <v>0</v>
      </c>
      <c r="E89" s="39">
        <v>7.3043793236138295E-14</v>
      </c>
      <c r="F89" s="39">
        <v>0</v>
      </c>
      <c r="G89" s="39">
        <v>7.3043793236138295E-14</v>
      </c>
    </row>
    <row r="90" spans="1:7" ht="11.25" customHeight="1" x14ac:dyDescent="0.2">
      <c r="A90" s="41" t="s">
        <v>609</v>
      </c>
      <c r="B90" s="39">
        <v>155771.6</v>
      </c>
      <c r="C90" s="39">
        <v>307424.41014525003</v>
      </c>
      <c r="D90" s="39">
        <v>204211.859833703</v>
      </c>
      <c r="E90" s="39">
        <v>370573.37812754454</v>
      </c>
      <c r="F90" s="39">
        <v>463196.01014525001</v>
      </c>
      <c r="G90" s="39">
        <v>574785.23796124756</v>
      </c>
    </row>
    <row r="91" spans="1:7" ht="11.25" customHeight="1" x14ac:dyDescent="0.2">
      <c r="A91" s="42" t="s">
        <v>35</v>
      </c>
      <c r="B91" s="39">
        <v>155771.6</v>
      </c>
      <c r="C91" s="39">
        <v>307424.41014525003</v>
      </c>
      <c r="D91" s="39">
        <v>204211.859833703</v>
      </c>
      <c r="E91" s="39">
        <v>370573.37812754454</v>
      </c>
      <c r="F91" s="39">
        <v>463196.01014525001</v>
      </c>
      <c r="G91" s="39">
        <v>574785.23796124756</v>
      </c>
    </row>
    <row r="92" spans="1:7" ht="11.25" customHeight="1" x14ac:dyDescent="0.2">
      <c r="A92" s="43" t="s">
        <v>54</v>
      </c>
      <c r="B92" s="39">
        <v>52873.560000000012</v>
      </c>
      <c r="C92" s="39">
        <v>0</v>
      </c>
      <c r="D92" s="39">
        <v>64823.90707138578</v>
      </c>
      <c r="E92" s="39">
        <v>0</v>
      </c>
      <c r="F92" s="39">
        <v>52873.560000000012</v>
      </c>
      <c r="G92" s="39">
        <v>64823.90707138578</v>
      </c>
    </row>
    <row r="93" spans="1:7" ht="11.25" customHeight="1" x14ac:dyDescent="0.2">
      <c r="A93" s="44" t="s">
        <v>34</v>
      </c>
      <c r="B93" s="39">
        <v>52873.560000000012</v>
      </c>
      <c r="C93" s="39">
        <v>0</v>
      </c>
      <c r="D93" s="39">
        <v>64823.90707138578</v>
      </c>
      <c r="E93" s="39">
        <v>0</v>
      </c>
      <c r="F93" s="39">
        <v>52873.560000000012</v>
      </c>
      <c r="G93" s="39">
        <v>64823.90707138578</v>
      </c>
    </row>
    <row r="94" spans="1:7" ht="11.25" customHeight="1" x14ac:dyDescent="0.2">
      <c r="A94" s="45" t="s">
        <v>25</v>
      </c>
      <c r="B94" s="39">
        <v>52873.560000000012</v>
      </c>
      <c r="C94" s="39">
        <v>0</v>
      </c>
      <c r="D94" s="39">
        <v>64823.90707138578</v>
      </c>
      <c r="E94" s="39">
        <v>0</v>
      </c>
      <c r="F94" s="39">
        <v>52873.560000000012</v>
      </c>
      <c r="G94" s="39">
        <v>64823.90707138578</v>
      </c>
    </row>
    <row r="95" spans="1:7" ht="11.25" customHeight="1" x14ac:dyDescent="0.2">
      <c r="A95" s="46" t="s">
        <v>55</v>
      </c>
      <c r="B95" s="39">
        <v>52873.560000000012</v>
      </c>
      <c r="C95" s="39">
        <v>0</v>
      </c>
      <c r="D95" s="39">
        <v>64823.90707138578</v>
      </c>
      <c r="E95" s="39">
        <v>0</v>
      </c>
      <c r="F95" s="39">
        <v>52873.560000000012</v>
      </c>
      <c r="G95" s="39">
        <v>64823.90707138578</v>
      </c>
    </row>
    <row r="96" spans="1:7" ht="11.25" customHeight="1" x14ac:dyDescent="0.2">
      <c r="A96" s="47" t="s">
        <v>25</v>
      </c>
      <c r="B96" s="39">
        <v>52873.560000000012</v>
      </c>
      <c r="C96" s="39">
        <v>0</v>
      </c>
      <c r="D96" s="39">
        <v>64823.90707138578</v>
      </c>
      <c r="E96" s="39">
        <v>0</v>
      </c>
      <c r="F96" s="39">
        <v>52873.560000000012</v>
      </c>
      <c r="G96" s="39">
        <v>64823.90707138578</v>
      </c>
    </row>
    <row r="97" spans="1:7" ht="11.25" customHeight="1" x14ac:dyDescent="0.2">
      <c r="A97" s="48" t="s">
        <v>38</v>
      </c>
      <c r="B97" s="39">
        <v>12063.599999999999</v>
      </c>
      <c r="C97" s="39">
        <v>0</v>
      </c>
      <c r="D97" s="39">
        <v>16341.618430666802</v>
      </c>
      <c r="E97" s="39">
        <v>0</v>
      </c>
      <c r="F97" s="39">
        <v>12063.599999999999</v>
      </c>
      <c r="G97" s="39">
        <v>16341.618430666802</v>
      </c>
    </row>
    <row r="98" spans="1:7" ht="11.25" customHeight="1" x14ac:dyDescent="0.2">
      <c r="A98" s="49">
        <v>44440</v>
      </c>
      <c r="B98" s="39">
        <v>971.79</v>
      </c>
      <c r="C98" s="39">
        <v>0</v>
      </c>
      <c r="D98" s="39">
        <v>1316.4081513592701</v>
      </c>
      <c r="E98" s="39">
        <v>0</v>
      </c>
      <c r="F98" s="39">
        <v>971.79</v>
      </c>
      <c r="G98" s="39">
        <v>1316.4081513592701</v>
      </c>
    </row>
    <row r="99" spans="1:7" ht="11.25" customHeight="1" x14ac:dyDescent="0.2">
      <c r="A99" s="49">
        <v>44470</v>
      </c>
      <c r="B99" s="39">
        <v>971.79</v>
      </c>
      <c r="C99" s="39">
        <v>0</v>
      </c>
      <c r="D99" s="39">
        <v>1316.4081513592701</v>
      </c>
      <c r="E99" s="39">
        <v>0</v>
      </c>
      <c r="F99" s="39">
        <v>971.79</v>
      </c>
      <c r="G99" s="39">
        <v>1316.4081513592701</v>
      </c>
    </row>
    <row r="100" spans="1:7" ht="11.25" customHeight="1" x14ac:dyDescent="0.2">
      <c r="A100" s="49">
        <v>44501</v>
      </c>
      <c r="B100" s="39">
        <v>994.13</v>
      </c>
      <c r="C100" s="39">
        <v>0</v>
      </c>
      <c r="D100" s="39">
        <v>1346.6704077123568</v>
      </c>
      <c r="E100" s="39">
        <v>0</v>
      </c>
      <c r="F100" s="39">
        <v>994.13</v>
      </c>
      <c r="G100" s="39">
        <v>1346.6704077123568</v>
      </c>
    </row>
    <row r="101" spans="1:7" ht="11.25" customHeight="1" x14ac:dyDescent="0.2">
      <c r="A101" s="49">
        <v>44531</v>
      </c>
      <c r="B101" s="39">
        <v>994.13</v>
      </c>
      <c r="C101" s="39">
        <v>0</v>
      </c>
      <c r="D101" s="39">
        <v>1346.6704077123568</v>
      </c>
      <c r="E101" s="39">
        <v>0</v>
      </c>
      <c r="F101" s="39">
        <v>994.13</v>
      </c>
      <c r="G101" s="39">
        <v>1346.6704077123568</v>
      </c>
    </row>
    <row r="102" spans="1:7" ht="11.25" customHeight="1" x14ac:dyDescent="0.2">
      <c r="A102" s="49">
        <v>44562</v>
      </c>
      <c r="B102" s="39">
        <v>971.79</v>
      </c>
      <c r="C102" s="39">
        <v>0</v>
      </c>
      <c r="D102" s="39">
        <v>1316.4081513592701</v>
      </c>
      <c r="E102" s="39">
        <v>0</v>
      </c>
      <c r="F102" s="39">
        <v>971.79</v>
      </c>
      <c r="G102" s="39">
        <v>1316.4081513592701</v>
      </c>
    </row>
    <row r="103" spans="1:7" ht="11.25" customHeight="1" x14ac:dyDescent="0.2">
      <c r="A103" s="49">
        <v>44593</v>
      </c>
      <c r="B103" s="39">
        <v>1016.47</v>
      </c>
      <c r="C103" s="39">
        <v>0</v>
      </c>
      <c r="D103" s="39">
        <v>1376.9326640654435</v>
      </c>
      <c r="E103" s="39">
        <v>0</v>
      </c>
      <c r="F103" s="39">
        <v>1016.47</v>
      </c>
      <c r="G103" s="39">
        <v>1376.9326640654435</v>
      </c>
    </row>
    <row r="104" spans="1:7" ht="11.25" customHeight="1" x14ac:dyDescent="0.2">
      <c r="A104" s="49">
        <v>44621</v>
      </c>
      <c r="B104" s="39">
        <v>1016.47</v>
      </c>
      <c r="C104" s="39">
        <v>0</v>
      </c>
      <c r="D104" s="39">
        <v>1376.9326640654435</v>
      </c>
      <c r="E104" s="39">
        <v>0</v>
      </c>
      <c r="F104" s="39">
        <v>1016.47</v>
      </c>
      <c r="G104" s="39">
        <v>1376.9326640654435</v>
      </c>
    </row>
    <row r="105" spans="1:7" ht="11.25" customHeight="1" x14ac:dyDescent="0.2">
      <c r="A105" s="49">
        <v>44652</v>
      </c>
      <c r="B105" s="39">
        <v>1027.6400000000001</v>
      </c>
      <c r="C105" s="39">
        <v>0</v>
      </c>
      <c r="D105" s="39">
        <v>1392.0637922419869</v>
      </c>
      <c r="E105" s="39">
        <v>0</v>
      </c>
      <c r="F105" s="39">
        <v>1027.6400000000001</v>
      </c>
      <c r="G105" s="39">
        <v>1392.0637922419869</v>
      </c>
    </row>
    <row r="106" spans="1:7" ht="11.25" customHeight="1" x14ac:dyDescent="0.2">
      <c r="A106" s="49">
        <v>44682</v>
      </c>
      <c r="B106" s="39">
        <v>971.79</v>
      </c>
      <c r="C106" s="39">
        <v>0</v>
      </c>
      <c r="D106" s="39">
        <v>1316.4081513592701</v>
      </c>
      <c r="E106" s="39">
        <v>0</v>
      </c>
      <c r="F106" s="39">
        <v>971.79</v>
      </c>
      <c r="G106" s="39">
        <v>1316.4081513592701</v>
      </c>
    </row>
    <row r="107" spans="1:7" ht="11.25" customHeight="1" x14ac:dyDescent="0.2">
      <c r="A107" s="49">
        <v>44713</v>
      </c>
      <c r="B107" s="39">
        <v>1049.98</v>
      </c>
      <c r="C107" s="39">
        <v>0</v>
      </c>
      <c r="D107" s="39">
        <v>1422.3260485950734</v>
      </c>
      <c r="E107" s="39">
        <v>0</v>
      </c>
      <c r="F107" s="39">
        <v>1049.98</v>
      </c>
      <c r="G107" s="39">
        <v>1422.3260485950734</v>
      </c>
    </row>
    <row r="108" spans="1:7" ht="11.25" customHeight="1" x14ac:dyDescent="0.2">
      <c r="A108" s="49">
        <v>44743</v>
      </c>
      <c r="B108" s="39">
        <v>1105.83</v>
      </c>
      <c r="C108" s="39">
        <v>0</v>
      </c>
      <c r="D108" s="39">
        <v>1497.9816894777903</v>
      </c>
      <c r="E108" s="39">
        <v>0</v>
      </c>
      <c r="F108" s="39">
        <v>1105.83</v>
      </c>
      <c r="G108" s="39">
        <v>1497.9816894777903</v>
      </c>
    </row>
    <row r="109" spans="1:7" ht="11.25" customHeight="1" x14ac:dyDescent="0.2">
      <c r="A109" s="49">
        <v>44774</v>
      </c>
      <c r="B109" s="39">
        <v>971.79</v>
      </c>
      <c r="C109" s="39">
        <v>0</v>
      </c>
      <c r="D109" s="39">
        <v>1316.4081513592701</v>
      </c>
      <c r="E109" s="39">
        <v>0</v>
      </c>
      <c r="F109" s="39">
        <v>971.79</v>
      </c>
      <c r="G109" s="39">
        <v>1316.4081513592701</v>
      </c>
    </row>
    <row r="110" spans="1:7" ht="11.25" customHeight="1" x14ac:dyDescent="0.2">
      <c r="A110" s="48" t="s">
        <v>25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</row>
    <row r="111" spans="1:7" ht="11.25" customHeight="1" x14ac:dyDescent="0.2">
      <c r="A111" s="49">
        <v>44440</v>
      </c>
      <c r="B111" s="39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</row>
    <row r="112" spans="1:7" ht="11.25" customHeight="1" x14ac:dyDescent="0.2">
      <c r="A112" s="49">
        <v>44470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</row>
    <row r="113" spans="1:7" ht="11.25" customHeight="1" x14ac:dyDescent="0.2">
      <c r="A113" s="49">
        <v>44501</v>
      </c>
      <c r="B113" s="39">
        <v>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</row>
    <row r="114" spans="1:7" ht="11.25" customHeight="1" x14ac:dyDescent="0.2">
      <c r="A114" s="49">
        <v>44531</v>
      </c>
      <c r="B114" s="39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</row>
    <row r="115" spans="1:7" ht="11.25" customHeight="1" x14ac:dyDescent="0.2">
      <c r="A115" s="49">
        <v>44562</v>
      </c>
      <c r="B115" s="39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</row>
    <row r="116" spans="1:7" ht="11.25" customHeight="1" x14ac:dyDescent="0.2">
      <c r="A116" s="49">
        <v>44593</v>
      </c>
      <c r="B116" s="39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</row>
    <row r="117" spans="1:7" ht="11.25" customHeight="1" x14ac:dyDescent="0.2">
      <c r="A117" s="49">
        <v>44621</v>
      </c>
      <c r="B117" s="39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</row>
    <row r="118" spans="1:7" ht="11.25" customHeight="1" x14ac:dyDescent="0.2">
      <c r="A118" s="49">
        <v>44652</v>
      </c>
      <c r="B118" s="39">
        <v>0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</row>
    <row r="119" spans="1:7" ht="11.25" customHeight="1" x14ac:dyDescent="0.2">
      <c r="A119" s="49">
        <v>44682</v>
      </c>
      <c r="B119" s="39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</row>
    <row r="120" spans="1:7" ht="11.25" customHeight="1" x14ac:dyDescent="0.2">
      <c r="A120" s="49">
        <v>44713</v>
      </c>
      <c r="B120" s="39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</row>
    <row r="121" spans="1:7" ht="11.25" customHeight="1" x14ac:dyDescent="0.2">
      <c r="A121" s="49">
        <v>44743</v>
      </c>
      <c r="B121" s="39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</row>
    <row r="122" spans="1:7" ht="11.25" customHeight="1" x14ac:dyDescent="0.2">
      <c r="A122" s="49">
        <v>44774</v>
      </c>
      <c r="B122" s="39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</row>
    <row r="123" spans="1:7" ht="11.25" customHeight="1" x14ac:dyDescent="0.2">
      <c r="A123" s="48" t="s">
        <v>37</v>
      </c>
      <c r="B123" s="39">
        <v>40809.960000000014</v>
      </c>
      <c r="C123" s="39">
        <v>0</v>
      </c>
      <c r="D123" s="39">
        <v>48482.288640718965</v>
      </c>
      <c r="E123" s="39">
        <v>0</v>
      </c>
      <c r="F123" s="39">
        <v>40809.960000000014</v>
      </c>
      <c r="G123" s="39">
        <v>48482.288640718965</v>
      </c>
    </row>
    <row r="124" spans="1:7" ht="11.25" customHeight="1" x14ac:dyDescent="0.2">
      <c r="A124" s="49">
        <v>44440</v>
      </c>
      <c r="B124" s="39">
        <v>3400.8300000000004</v>
      </c>
      <c r="C124" s="39">
        <v>0</v>
      </c>
      <c r="D124" s="39">
        <v>4040.190720059913</v>
      </c>
      <c r="E124" s="39">
        <v>0</v>
      </c>
      <c r="F124" s="39">
        <v>3400.8300000000004</v>
      </c>
      <c r="G124" s="39">
        <v>4040.190720059913</v>
      </c>
    </row>
    <row r="125" spans="1:7" ht="11.25" customHeight="1" x14ac:dyDescent="0.2">
      <c r="A125" s="49">
        <v>44470</v>
      </c>
      <c r="B125" s="39">
        <v>3400.8300000000004</v>
      </c>
      <c r="C125" s="39">
        <v>0</v>
      </c>
      <c r="D125" s="39">
        <v>4040.190720059913</v>
      </c>
      <c r="E125" s="39">
        <v>0</v>
      </c>
      <c r="F125" s="39">
        <v>3400.8300000000004</v>
      </c>
      <c r="G125" s="39">
        <v>4040.190720059913</v>
      </c>
    </row>
    <row r="126" spans="1:7" ht="11.25" customHeight="1" x14ac:dyDescent="0.2">
      <c r="A126" s="49">
        <v>44501</v>
      </c>
      <c r="B126" s="39">
        <v>3400.8300000000004</v>
      </c>
      <c r="C126" s="39">
        <v>0</v>
      </c>
      <c r="D126" s="39">
        <v>4040.190720059913</v>
      </c>
      <c r="E126" s="39">
        <v>0</v>
      </c>
      <c r="F126" s="39">
        <v>3400.8300000000004</v>
      </c>
      <c r="G126" s="39">
        <v>4040.190720059913</v>
      </c>
    </row>
    <row r="127" spans="1:7" ht="11.25" customHeight="1" x14ac:dyDescent="0.2">
      <c r="A127" s="49">
        <v>44531</v>
      </c>
      <c r="B127" s="39">
        <v>3400.8300000000004</v>
      </c>
      <c r="C127" s="39">
        <v>0</v>
      </c>
      <c r="D127" s="39">
        <v>4040.190720059913</v>
      </c>
      <c r="E127" s="39">
        <v>0</v>
      </c>
      <c r="F127" s="39">
        <v>3400.8300000000004</v>
      </c>
      <c r="G127" s="39">
        <v>4040.190720059913</v>
      </c>
    </row>
    <row r="128" spans="1:7" ht="11.25" customHeight="1" x14ac:dyDescent="0.2">
      <c r="A128" s="49">
        <v>44562</v>
      </c>
      <c r="B128" s="39">
        <v>3400.8300000000004</v>
      </c>
      <c r="C128" s="39">
        <v>0</v>
      </c>
      <c r="D128" s="39">
        <v>4040.190720059913</v>
      </c>
      <c r="E128" s="39">
        <v>0</v>
      </c>
      <c r="F128" s="39">
        <v>3400.8300000000004</v>
      </c>
      <c r="G128" s="39">
        <v>4040.190720059913</v>
      </c>
    </row>
    <row r="129" spans="1:7" ht="11.25" customHeight="1" x14ac:dyDescent="0.2">
      <c r="A129" s="49">
        <v>44593</v>
      </c>
      <c r="B129" s="39">
        <v>3400.8300000000004</v>
      </c>
      <c r="C129" s="39">
        <v>0</v>
      </c>
      <c r="D129" s="39">
        <v>4040.190720059913</v>
      </c>
      <c r="E129" s="39">
        <v>0</v>
      </c>
      <c r="F129" s="39">
        <v>3400.8300000000004</v>
      </c>
      <c r="G129" s="39">
        <v>4040.190720059913</v>
      </c>
    </row>
    <row r="130" spans="1:7" ht="11.25" customHeight="1" x14ac:dyDescent="0.2">
      <c r="A130" s="49">
        <v>44621</v>
      </c>
      <c r="B130" s="39">
        <v>3400.8300000000004</v>
      </c>
      <c r="C130" s="39">
        <v>0</v>
      </c>
      <c r="D130" s="39">
        <v>4040.190720059913</v>
      </c>
      <c r="E130" s="39">
        <v>0</v>
      </c>
      <c r="F130" s="39">
        <v>3400.8300000000004</v>
      </c>
      <c r="G130" s="39">
        <v>4040.190720059913</v>
      </c>
    </row>
    <row r="131" spans="1:7" ht="11.25" customHeight="1" x14ac:dyDescent="0.2">
      <c r="A131" s="49">
        <v>44652</v>
      </c>
      <c r="B131" s="39">
        <v>3400.8300000000004</v>
      </c>
      <c r="C131" s="39">
        <v>0</v>
      </c>
      <c r="D131" s="39">
        <v>4040.190720059913</v>
      </c>
      <c r="E131" s="39">
        <v>0</v>
      </c>
      <c r="F131" s="39">
        <v>3400.8300000000004</v>
      </c>
      <c r="G131" s="39">
        <v>4040.190720059913</v>
      </c>
    </row>
    <row r="132" spans="1:7" ht="11.25" customHeight="1" x14ac:dyDescent="0.2">
      <c r="A132" s="49">
        <v>44682</v>
      </c>
      <c r="B132" s="39">
        <v>3400.8300000000004</v>
      </c>
      <c r="C132" s="39">
        <v>0</v>
      </c>
      <c r="D132" s="39">
        <v>4040.190720059913</v>
      </c>
      <c r="E132" s="39">
        <v>0</v>
      </c>
      <c r="F132" s="39">
        <v>3400.8300000000004</v>
      </c>
      <c r="G132" s="39">
        <v>4040.190720059913</v>
      </c>
    </row>
    <row r="133" spans="1:7" ht="11.25" customHeight="1" x14ac:dyDescent="0.2">
      <c r="A133" s="49">
        <v>44713</v>
      </c>
      <c r="B133" s="39">
        <v>3400.8300000000004</v>
      </c>
      <c r="C133" s="39">
        <v>0</v>
      </c>
      <c r="D133" s="39">
        <v>4040.190720059913</v>
      </c>
      <c r="E133" s="39">
        <v>0</v>
      </c>
      <c r="F133" s="39">
        <v>3400.8300000000004</v>
      </c>
      <c r="G133" s="39">
        <v>4040.190720059913</v>
      </c>
    </row>
    <row r="134" spans="1:7" ht="11.25" customHeight="1" x14ac:dyDescent="0.2">
      <c r="A134" s="49">
        <v>44743</v>
      </c>
      <c r="B134" s="39">
        <v>3400.8300000000004</v>
      </c>
      <c r="C134" s="39">
        <v>0</v>
      </c>
      <c r="D134" s="39">
        <v>4040.190720059913</v>
      </c>
      <c r="E134" s="39">
        <v>0</v>
      </c>
      <c r="F134" s="39">
        <v>3400.8300000000004</v>
      </c>
      <c r="G134" s="39">
        <v>4040.190720059913</v>
      </c>
    </row>
    <row r="135" spans="1:7" ht="11.25" customHeight="1" x14ac:dyDescent="0.2">
      <c r="A135" s="49">
        <v>44774</v>
      </c>
      <c r="B135" s="39">
        <v>3400.8300000000004</v>
      </c>
      <c r="C135" s="39">
        <v>0</v>
      </c>
      <c r="D135" s="39">
        <v>4040.190720059913</v>
      </c>
      <c r="E135" s="39">
        <v>0</v>
      </c>
      <c r="F135" s="39">
        <v>3400.8300000000004</v>
      </c>
      <c r="G135" s="39">
        <v>4040.190720059913</v>
      </c>
    </row>
    <row r="136" spans="1:7" ht="11.25" customHeight="1" x14ac:dyDescent="0.2">
      <c r="A136" s="43" t="s">
        <v>36</v>
      </c>
      <c r="B136" s="39">
        <v>102898.04</v>
      </c>
      <c r="C136" s="39">
        <v>307424.41014525003</v>
      </c>
      <c r="D136" s="39">
        <v>139387.9527623172</v>
      </c>
      <c r="E136" s="39">
        <v>370573.37812754454</v>
      </c>
      <c r="F136" s="39">
        <v>410322.45014525001</v>
      </c>
      <c r="G136" s="39">
        <v>509961.33088986174</v>
      </c>
    </row>
    <row r="137" spans="1:7" ht="11.25" customHeight="1" x14ac:dyDescent="0.2">
      <c r="A137" s="44" t="s">
        <v>34</v>
      </c>
      <c r="B137" s="39">
        <v>102898.04</v>
      </c>
      <c r="C137" s="39">
        <v>307424.41014525003</v>
      </c>
      <c r="D137" s="39">
        <v>139387.9527623172</v>
      </c>
      <c r="E137" s="39">
        <v>370573.37812754454</v>
      </c>
      <c r="F137" s="39">
        <v>410322.45014525001</v>
      </c>
      <c r="G137" s="39">
        <v>509961.33088986174</v>
      </c>
    </row>
    <row r="138" spans="1:7" ht="11.25" customHeight="1" x14ac:dyDescent="0.2">
      <c r="A138" s="45" t="s">
        <v>25</v>
      </c>
      <c r="B138" s="39">
        <v>102898.04</v>
      </c>
      <c r="C138" s="39">
        <v>307424.41014525003</v>
      </c>
      <c r="D138" s="39">
        <v>139387.9527623172</v>
      </c>
      <c r="E138" s="39">
        <v>370573.37812754454</v>
      </c>
      <c r="F138" s="39">
        <v>410322.45014525001</v>
      </c>
      <c r="G138" s="39">
        <v>509961.33088986174</v>
      </c>
    </row>
    <row r="139" spans="1:7" ht="11.25" customHeight="1" x14ac:dyDescent="0.2">
      <c r="A139" s="46" t="s">
        <v>55</v>
      </c>
      <c r="B139" s="39">
        <v>102898.04</v>
      </c>
      <c r="C139" s="39">
        <v>307424.41014525003</v>
      </c>
      <c r="D139" s="39">
        <v>139387.9527623172</v>
      </c>
      <c r="E139" s="39">
        <v>370573.37812754454</v>
      </c>
      <c r="F139" s="39">
        <v>410322.45014525001</v>
      </c>
      <c r="G139" s="39">
        <v>509961.33088986174</v>
      </c>
    </row>
    <row r="140" spans="1:7" ht="11.25" customHeight="1" x14ac:dyDescent="0.2">
      <c r="A140" s="47" t="s">
        <v>25</v>
      </c>
      <c r="B140" s="39">
        <v>102898.04</v>
      </c>
      <c r="C140" s="39">
        <v>307424.41014525003</v>
      </c>
      <c r="D140" s="39">
        <v>139387.9527623172</v>
      </c>
      <c r="E140" s="39">
        <v>370573.37812754454</v>
      </c>
      <c r="F140" s="39">
        <v>410322.45014525001</v>
      </c>
      <c r="G140" s="39">
        <v>509961.33088986174</v>
      </c>
    </row>
    <row r="141" spans="1:7" ht="11.25" customHeight="1" x14ac:dyDescent="0.2">
      <c r="A141" s="48" t="s">
        <v>38</v>
      </c>
      <c r="B141" s="39">
        <v>0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</row>
    <row r="142" spans="1:7" ht="11.25" customHeight="1" x14ac:dyDescent="0.2">
      <c r="A142" s="49">
        <v>44440</v>
      </c>
      <c r="B142" s="39">
        <v>0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</row>
    <row r="143" spans="1:7" ht="11.25" customHeight="1" x14ac:dyDescent="0.2">
      <c r="A143" s="49">
        <v>44470</v>
      </c>
      <c r="B143" s="39">
        <v>0</v>
      </c>
      <c r="C143" s="39">
        <v>0</v>
      </c>
      <c r="D143" s="39">
        <v>0</v>
      </c>
      <c r="E143" s="39">
        <v>0</v>
      </c>
      <c r="F143" s="39">
        <v>0</v>
      </c>
      <c r="G143" s="39">
        <v>0</v>
      </c>
    </row>
    <row r="144" spans="1:7" ht="11.25" customHeight="1" x14ac:dyDescent="0.2">
      <c r="A144" s="49">
        <v>44501</v>
      </c>
      <c r="B144" s="39">
        <v>0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</row>
    <row r="145" spans="1:7" ht="11.25" customHeight="1" x14ac:dyDescent="0.2">
      <c r="A145" s="49">
        <v>44531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</row>
    <row r="146" spans="1:7" ht="11.25" customHeight="1" x14ac:dyDescent="0.2">
      <c r="A146" s="49">
        <v>44562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</row>
    <row r="147" spans="1:7" ht="11.25" customHeight="1" x14ac:dyDescent="0.2">
      <c r="A147" s="49">
        <v>44593</v>
      </c>
      <c r="B147" s="39">
        <v>0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</row>
    <row r="148" spans="1:7" ht="11.25" customHeight="1" x14ac:dyDescent="0.2">
      <c r="A148" s="49">
        <v>44621</v>
      </c>
      <c r="B148" s="39">
        <v>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</row>
    <row r="149" spans="1:7" ht="11.25" customHeight="1" x14ac:dyDescent="0.2">
      <c r="A149" s="49">
        <v>44652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</row>
    <row r="150" spans="1:7" ht="11.25" customHeight="1" x14ac:dyDescent="0.2">
      <c r="A150" s="49">
        <v>44682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</row>
    <row r="151" spans="1:7" ht="11.25" customHeight="1" x14ac:dyDescent="0.2">
      <c r="A151" s="49">
        <v>44713</v>
      </c>
      <c r="B151" s="39">
        <v>0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</row>
    <row r="152" spans="1:7" ht="11.25" customHeight="1" x14ac:dyDescent="0.2">
      <c r="A152" s="49">
        <v>44743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</row>
    <row r="153" spans="1:7" ht="11.25" customHeight="1" x14ac:dyDescent="0.2">
      <c r="A153" s="49">
        <v>44774</v>
      </c>
      <c r="B153" s="39">
        <v>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</row>
    <row r="154" spans="1:7" ht="11.25" customHeight="1" x14ac:dyDescent="0.2">
      <c r="A154" s="48" t="s">
        <v>25</v>
      </c>
      <c r="B154" s="39">
        <v>102898.04</v>
      </c>
      <c r="C154" s="39">
        <v>0</v>
      </c>
      <c r="D154" s="39">
        <v>139387.9527623172</v>
      </c>
      <c r="E154" s="39">
        <v>0</v>
      </c>
      <c r="F154" s="39">
        <v>102898.04</v>
      </c>
      <c r="G154" s="39">
        <v>139387.9527623172</v>
      </c>
    </row>
    <row r="155" spans="1:7" ht="11.25" customHeight="1" x14ac:dyDescent="0.2">
      <c r="A155" s="49">
        <v>44440</v>
      </c>
      <c r="B155" s="39">
        <v>6031.8</v>
      </c>
      <c r="C155" s="39">
        <v>0</v>
      </c>
      <c r="D155" s="39">
        <v>8170.809215333401</v>
      </c>
      <c r="E155" s="39">
        <v>0</v>
      </c>
      <c r="F155" s="39">
        <v>6031.8</v>
      </c>
      <c r="G155" s="39">
        <v>8170.809215333401</v>
      </c>
    </row>
    <row r="156" spans="1:7" ht="11.25" customHeight="1" x14ac:dyDescent="0.2">
      <c r="A156" s="49">
        <v>44470</v>
      </c>
      <c r="B156" s="39">
        <v>6031.8</v>
      </c>
      <c r="C156" s="39">
        <v>0</v>
      </c>
      <c r="D156" s="39">
        <v>8170.809215333401</v>
      </c>
      <c r="E156" s="39">
        <v>0</v>
      </c>
      <c r="F156" s="39">
        <v>6031.8</v>
      </c>
      <c r="G156" s="39">
        <v>8170.809215333401</v>
      </c>
    </row>
    <row r="157" spans="1:7" ht="11.25" customHeight="1" x14ac:dyDescent="0.2">
      <c r="A157" s="49">
        <v>44501</v>
      </c>
      <c r="B157" s="39">
        <v>6031.8</v>
      </c>
      <c r="C157" s="39">
        <v>0</v>
      </c>
      <c r="D157" s="39">
        <v>8170.809215333401</v>
      </c>
      <c r="E157" s="39">
        <v>0</v>
      </c>
      <c r="F157" s="39">
        <v>6031.8</v>
      </c>
      <c r="G157" s="39">
        <v>8170.809215333401</v>
      </c>
    </row>
    <row r="158" spans="1:7" ht="11.25" customHeight="1" x14ac:dyDescent="0.2">
      <c r="A158" s="49">
        <v>44531</v>
      </c>
      <c r="B158" s="39">
        <v>6188.18</v>
      </c>
      <c r="C158" s="39">
        <v>0</v>
      </c>
      <c r="D158" s="39">
        <v>8382.6450098050082</v>
      </c>
      <c r="E158" s="39">
        <v>0</v>
      </c>
      <c r="F158" s="39">
        <v>6188.18</v>
      </c>
      <c r="G158" s="39">
        <v>8382.6450098050082</v>
      </c>
    </row>
    <row r="159" spans="1:7" ht="11.25" customHeight="1" x14ac:dyDescent="0.2">
      <c r="A159" s="49">
        <v>44562</v>
      </c>
      <c r="B159" s="39">
        <v>6266.37</v>
      </c>
      <c r="C159" s="39">
        <v>0</v>
      </c>
      <c r="D159" s="39">
        <v>8488.5629070408104</v>
      </c>
      <c r="E159" s="39">
        <v>0</v>
      </c>
      <c r="F159" s="39">
        <v>6266.37</v>
      </c>
      <c r="G159" s="39">
        <v>8488.5629070408104</v>
      </c>
    </row>
    <row r="160" spans="1:7" ht="11.25" customHeight="1" x14ac:dyDescent="0.2">
      <c r="A160" s="49">
        <v>44593</v>
      </c>
      <c r="B160" s="39">
        <v>6679.66</v>
      </c>
      <c r="C160" s="39">
        <v>0</v>
      </c>
      <c r="D160" s="39">
        <v>9048.4146495729146</v>
      </c>
      <c r="E160" s="39">
        <v>0</v>
      </c>
      <c r="F160" s="39">
        <v>6679.66</v>
      </c>
      <c r="G160" s="39">
        <v>9048.4146495729146</v>
      </c>
    </row>
    <row r="161" spans="1:7" ht="11.25" customHeight="1" x14ac:dyDescent="0.2">
      <c r="A161" s="49">
        <v>44621</v>
      </c>
      <c r="B161" s="39">
        <v>6713.17</v>
      </c>
      <c r="C161" s="39">
        <v>0</v>
      </c>
      <c r="D161" s="39">
        <v>9093.8080341025452</v>
      </c>
      <c r="E161" s="39">
        <v>0</v>
      </c>
      <c r="F161" s="39">
        <v>6713.17</v>
      </c>
      <c r="G161" s="39">
        <v>9093.8080341025452</v>
      </c>
    </row>
    <row r="162" spans="1:7" ht="11.25" customHeight="1" x14ac:dyDescent="0.2">
      <c r="A162" s="49">
        <v>44652</v>
      </c>
      <c r="B162" s="39">
        <v>6757.85</v>
      </c>
      <c r="C162" s="39">
        <v>0</v>
      </c>
      <c r="D162" s="39">
        <v>9154.3325468087169</v>
      </c>
      <c r="E162" s="39">
        <v>0</v>
      </c>
      <c r="F162" s="39">
        <v>6757.85</v>
      </c>
      <c r="G162" s="39">
        <v>9154.3325468087169</v>
      </c>
    </row>
    <row r="163" spans="1:7" ht="11.25" customHeight="1" x14ac:dyDescent="0.2">
      <c r="A163" s="49">
        <v>44682</v>
      </c>
      <c r="B163" s="39">
        <v>13381.66</v>
      </c>
      <c r="C163" s="39">
        <v>0</v>
      </c>
      <c r="D163" s="39">
        <v>18127.091555498915</v>
      </c>
      <c r="E163" s="39">
        <v>0</v>
      </c>
      <c r="F163" s="39">
        <v>13381.66</v>
      </c>
      <c r="G163" s="39">
        <v>18127.091555498915</v>
      </c>
    </row>
    <row r="164" spans="1:7" ht="11.25" customHeight="1" x14ac:dyDescent="0.2">
      <c r="A164" s="49">
        <v>44713</v>
      </c>
      <c r="B164" s="39">
        <v>13348.15</v>
      </c>
      <c r="C164" s="39">
        <v>0</v>
      </c>
      <c r="D164" s="39">
        <v>18081.698170969285</v>
      </c>
      <c r="E164" s="39">
        <v>0</v>
      </c>
      <c r="F164" s="39">
        <v>13348.15</v>
      </c>
      <c r="G164" s="39">
        <v>18081.698170969285</v>
      </c>
    </row>
    <row r="165" spans="1:7" ht="11.25" customHeight="1" x14ac:dyDescent="0.2">
      <c r="A165" s="49">
        <v>44743</v>
      </c>
      <c r="B165" s="39">
        <v>12733.8</v>
      </c>
      <c r="C165" s="39">
        <v>0</v>
      </c>
      <c r="D165" s="39">
        <v>17249.486121259401</v>
      </c>
      <c r="E165" s="39">
        <v>0</v>
      </c>
      <c r="F165" s="39">
        <v>12733.8</v>
      </c>
      <c r="G165" s="39">
        <v>17249.486121259401</v>
      </c>
    </row>
    <row r="166" spans="1:7" ht="11.25" customHeight="1" x14ac:dyDescent="0.2">
      <c r="A166" s="49">
        <v>44774</v>
      </c>
      <c r="B166" s="39">
        <v>12733.8</v>
      </c>
      <c r="C166" s="39">
        <v>0</v>
      </c>
      <c r="D166" s="39">
        <v>17249.486121259401</v>
      </c>
      <c r="E166" s="39">
        <v>0</v>
      </c>
      <c r="F166" s="39">
        <v>12733.8</v>
      </c>
      <c r="G166" s="39">
        <v>17249.486121259401</v>
      </c>
    </row>
    <row r="167" spans="1:7" ht="11.25" customHeight="1" x14ac:dyDescent="0.2">
      <c r="A167" s="48" t="s">
        <v>37</v>
      </c>
      <c r="B167" s="39">
        <v>0</v>
      </c>
      <c r="C167" s="39">
        <v>307424.41014525003</v>
      </c>
      <c r="D167" s="39">
        <v>0</v>
      </c>
      <c r="E167" s="39">
        <v>370573.37812754454</v>
      </c>
      <c r="F167" s="39">
        <v>307424.41014525003</v>
      </c>
      <c r="G167" s="39">
        <v>370573.37812754454</v>
      </c>
    </row>
    <row r="168" spans="1:7" ht="11.25" customHeight="1" x14ac:dyDescent="0.2">
      <c r="A168" s="49">
        <v>44440</v>
      </c>
      <c r="B168" s="39">
        <v>0</v>
      </c>
      <c r="C168" s="39">
        <v>21594.8278436</v>
      </c>
      <c r="D168" s="39">
        <v>0</v>
      </c>
      <c r="E168" s="39">
        <v>26030.686048335108</v>
      </c>
      <c r="F168" s="39">
        <v>21594.8278436</v>
      </c>
      <c r="G168" s="39">
        <v>26030.686048335108</v>
      </c>
    </row>
    <row r="169" spans="1:7" ht="11.25" customHeight="1" x14ac:dyDescent="0.2">
      <c r="A169" s="49">
        <v>44470</v>
      </c>
      <c r="B169" s="39">
        <v>0</v>
      </c>
      <c r="C169" s="39">
        <v>22890.806505664001</v>
      </c>
      <c r="D169" s="39">
        <v>0</v>
      </c>
      <c r="E169" s="39">
        <v>27592.875565281287</v>
      </c>
      <c r="F169" s="39">
        <v>22890.806505664001</v>
      </c>
      <c r="G169" s="39">
        <v>27592.875565281287</v>
      </c>
    </row>
    <row r="170" spans="1:7" ht="11.25" customHeight="1" x14ac:dyDescent="0.2">
      <c r="A170" s="49">
        <v>44501</v>
      </c>
      <c r="B170" s="39">
        <v>0</v>
      </c>
      <c r="C170" s="39">
        <v>23496.164562072001</v>
      </c>
      <c r="D170" s="39">
        <v>0</v>
      </c>
      <c r="E170" s="39">
        <v>28322.58203144592</v>
      </c>
      <c r="F170" s="39">
        <v>23496.164562072001</v>
      </c>
      <c r="G170" s="39">
        <v>28322.58203144592</v>
      </c>
    </row>
    <row r="171" spans="1:7" ht="11.25" customHeight="1" x14ac:dyDescent="0.2">
      <c r="A171" s="49">
        <v>44531</v>
      </c>
      <c r="B171" s="39">
        <v>0</v>
      </c>
      <c r="C171" s="39">
        <v>18138.181764672001</v>
      </c>
      <c r="D171" s="39">
        <v>0</v>
      </c>
      <c r="E171" s="39">
        <v>21863.999955144041</v>
      </c>
      <c r="F171" s="39">
        <v>18138.181764672001</v>
      </c>
      <c r="G171" s="39">
        <v>21863.999955144041</v>
      </c>
    </row>
    <row r="172" spans="1:7" ht="11.25" customHeight="1" x14ac:dyDescent="0.2">
      <c r="A172" s="49">
        <v>44562</v>
      </c>
      <c r="B172" s="39">
        <v>0</v>
      </c>
      <c r="C172" s="39">
        <v>25625.257726301999</v>
      </c>
      <c r="D172" s="39">
        <v>0</v>
      </c>
      <c r="E172" s="39">
        <v>30889.018593344827</v>
      </c>
      <c r="F172" s="39">
        <v>25625.257726301999</v>
      </c>
      <c r="G172" s="39">
        <v>30889.018593344827</v>
      </c>
    </row>
    <row r="173" spans="1:7" ht="11.25" customHeight="1" x14ac:dyDescent="0.2">
      <c r="A173" s="49">
        <v>44593</v>
      </c>
      <c r="B173" s="39">
        <v>0</v>
      </c>
      <c r="C173" s="39">
        <v>26316.155508071999</v>
      </c>
      <c r="D173" s="39">
        <v>0</v>
      </c>
      <c r="E173" s="39">
        <v>31721.835755815329</v>
      </c>
      <c r="F173" s="39">
        <v>26316.155508071999</v>
      </c>
      <c r="G173" s="39">
        <v>31721.835755815329</v>
      </c>
    </row>
    <row r="174" spans="1:7" ht="11.25" customHeight="1" x14ac:dyDescent="0.2">
      <c r="A174" s="49">
        <v>44621</v>
      </c>
      <c r="B174" s="39">
        <v>0</v>
      </c>
      <c r="C174" s="39">
        <v>30391.042425042007</v>
      </c>
      <c r="D174" s="39">
        <v>0</v>
      </c>
      <c r="E174" s="39">
        <v>36633.757387529135</v>
      </c>
      <c r="F174" s="39">
        <v>30391.042425042007</v>
      </c>
      <c r="G174" s="39">
        <v>36633.757387529135</v>
      </c>
    </row>
    <row r="175" spans="1:7" ht="11.25" customHeight="1" x14ac:dyDescent="0.2">
      <c r="A175" s="49">
        <v>44652</v>
      </c>
      <c r="B175" s="39">
        <v>0</v>
      </c>
      <c r="C175" s="39">
        <v>26832.213851190005</v>
      </c>
      <c r="D175" s="39">
        <v>0</v>
      </c>
      <c r="E175" s="39">
        <v>32343.89918737494</v>
      </c>
      <c r="F175" s="39">
        <v>26832.213851190005</v>
      </c>
      <c r="G175" s="39">
        <v>32343.89918737494</v>
      </c>
    </row>
    <row r="176" spans="1:7" ht="11.25" customHeight="1" x14ac:dyDescent="0.2">
      <c r="A176" s="49">
        <v>44682</v>
      </c>
      <c r="B176" s="39">
        <v>0</v>
      </c>
      <c r="C176" s="39">
        <v>40480.030032848001</v>
      </c>
      <c r="D176" s="39">
        <v>0</v>
      </c>
      <c r="E176" s="39">
        <v>48795.154128748087</v>
      </c>
      <c r="F176" s="39">
        <v>40480.030032848001</v>
      </c>
      <c r="G176" s="39">
        <v>48795.154128748087</v>
      </c>
    </row>
    <row r="177" spans="1:7" ht="11.25" customHeight="1" x14ac:dyDescent="0.2">
      <c r="A177" s="49">
        <v>44713</v>
      </c>
      <c r="B177" s="39">
        <v>0</v>
      </c>
      <c r="C177" s="39">
        <v>20216.515091874004</v>
      </c>
      <c r="D177" s="39">
        <v>0</v>
      </c>
      <c r="E177" s="39">
        <v>24369.249950004301</v>
      </c>
      <c r="F177" s="39">
        <v>20216.515091874004</v>
      </c>
      <c r="G177" s="39">
        <v>24369.249950004301</v>
      </c>
    </row>
    <row r="178" spans="1:7" ht="11.25" customHeight="1" x14ac:dyDescent="0.2">
      <c r="A178" s="49">
        <v>44743</v>
      </c>
      <c r="B178" s="39">
        <v>0</v>
      </c>
      <c r="C178" s="39">
        <v>22137.868923081995</v>
      </c>
      <c r="D178" s="39">
        <v>0</v>
      </c>
      <c r="E178" s="39">
        <v>26685.274820874649</v>
      </c>
      <c r="F178" s="39">
        <v>22137.868923081995</v>
      </c>
      <c r="G178" s="39">
        <v>26685.274820874649</v>
      </c>
    </row>
    <row r="179" spans="1:7" ht="11.25" customHeight="1" x14ac:dyDescent="0.2">
      <c r="A179" s="49">
        <v>44774</v>
      </c>
      <c r="B179" s="39">
        <v>0</v>
      </c>
      <c r="C179" s="39">
        <v>29305.345910832002</v>
      </c>
      <c r="D179" s="39">
        <v>0</v>
      </c>
      <c r="E179" s="39">
        <v>35325.044703646905</v>
      </c>
      <c r="F179" s="39">
        <v>29305.345910832002</v>
      </c>
      <c r="G179" s="39">
        <v>35325.044703646905</v>
      </c>
    </row>
    <row r="180" spans="1:7" ht="11.25" customHeight="1" x14ac:dyDescent="0.2">
      <c r="A180" s="41" t="s">
        <v>611</v>
      </c>
      <c r="B180" s="39">
        <v>0</v>
      </c>
      <c r="C180" s="39">
        <v>861915.06822399981</v>
      </c>
      <c r="D180" s="39">
        <v>0</v>
      </c>
      <c r="E180" s="39">
        <v>785431.86160104268</v>
      </c>
      <c r="F180" s="39">
        <v>861915.06822399981</v>
      </c>
      <c r="G180" s="39">
        <v>785431.86160104268</v>
      </c>
    </row>
    <row r="181" spans="1:7" ht="11.25" customHeight="1" x14ac:dyDescent="0.2">
      <c r="A181" s="42" t="s">
        <v>35</v>
      </c>
      <c r="B181" s="39">
        <v>0</v>
      </c>
      <c r="C181" s="39">
        <v>590941.39042399998</v>
      </c>
      <c r="D181" s="39">
        <v>0</v>
      </c>
      <c r="E181" s="39">
        <v>521384.75187695003</v>
      </c>
      <c r="F181" s="39">
        <v>590941.39042399998</v>
      </c>
      <c r="G181" s="39">
        <v>521384.75187695003</v>
      </c>
    </row>
    <row r="182" spans="1:7" ht="11.25" customHeight="1" x14ac:dyDescent="0.2">
      <c r="A182" s="43" t="s">
        <v>36</v>
      </c>
      <c r="B182" s="39">
        <v>0</v>
      </c>
      <c r="C182" s="39">
        <v>590941.39042399998</v>
      </c>
      <c r="D182" s="39">
        <v>0</v>
      </c>
      <c r="E182" s="39">
        <v>521384.75187695003</v>
      </c>
      <c r="F182" s="39">
        <v>590941.39042399998</v>
      </c>
      <c r="G182" s="39">
        <v>521384.75187695003</v>
      </c>
    </row>
    <row r="183" spans="1:7" ht="11.25" customHeight="1" x14ac:dyDescent="0.2">
      <c r="A183" s="44" t="s">
        <v>41</v>
      </c>
      <c r="B183" s="39">
        <v>0</v>
      </c>
      <c r="C183" s="39">
        <v>590941.39042399998</v>
      </c>
      <c r="D183" s="39">
        <v>0</v>
      </c>
      <c r="E183" s="39">
        <v>521384.75187695003</v>
      </c>
      <c r="F183" s="39">
        <v>590941.39042399998</v>
      </c>
      <c r="G183" s="39">
        <v>521384.75187695003</v>
      </c>
    </row>
    <row r="184" spans="1:7" ht="11.25" customHeight="1" x14ac:dyDescent="0.2">
      <c r="A184" s="45" t="s">
        <v>50</v>
      </c>
      <c r="B184" s="39">
        <v>0</v>
      </c>
      <c r="C184" s="39">
        <v>590941.39042399998</v>
      </c>
      <c r="D184" s="39">
        <v>0</v>
      </c>
      <c r="E184" s="39">
        <v>521384.75187695003</v>
      </c>
      <c r="F184" s="39">
        <v>590941.39042399998</v>
      </c>
      <c r="G184" s="39">
        <v>521384.75187695003</v>
      </c>
    </row>
    <row r="185" spans="1:7" ht="11.25" customHeight="1" x14ac:dyDescent="0.2">
      <c r="A185" s="46" t="s">
        <v>52</v>
      </c>
      <c r="B185" s="39">
        <v>0</v>
      </c>
      <c r="C185" s="39">
        <v>590941.39042399998</v>
      </c>
      <c r="D185" s="39">
        <v>0</v>
      </c>
      <c r="E185" s="39">
        <v>521384.75187695003</v>
      </c>
      <c r="F185" s="39">
        <v>590941.39042399998</v>
      </c>
      <c r="G185" s="39">
        <v>521384.75187695003</v>
      </c>
    </row>
    <row r="186" spans="1:7" ht="11.25" customHeight="1" x14ac:dyDescent="0.2">
      <c r="A186" s="47" t="s">
        <v>25</v>
      </c>
      <c r="B186" s="39">
        <v>0</v>
      </c>
      <c r="C186" s="39">
        <v>590941.39042399998</v>
      </c>
      <c r="D186" s="39">
        <v>0</v>
      </c>
      <c r="E186" s="39">
        <v>521384.75187695003</v>
      </c>
      <c r="F186" s="39">
        <v>590941.39042399998</v>
      </c>
      <c r="G186" s="39">
        <v>521384.75187695003</v>
      </c>
    </row>
    <row r="187" spans="1:7" ht="11.25" customHeight="1" x14ac:dyDescent="0.2">
      <c r="A187" s="48" t="s">
        <v>38</v>
      </c>
      <c r="B187" s="39">
        <v>0</v>
      </c>
      <c r="C187" s="39">
        <v>590941.39042399998</v>
      </c>
      <c r="D187" s="39">
        <v>0</v>
      </c>
      <c r="E187" s="39">
        <v>521384.75187695003</v>
      </c>
      <c r="F187" s="39">
        <v>590941.39042399998</v>
      </c>
      <c r="G187" s="39">
        <v>521384.75187695003</v>
      </c>
    </row>
    <row r="188" spans="1:7" ht="11.25" customHeight="1" x14ac:dyDescent="0.2">
      <c r="A188" s="49">
        <v>44440</v>
      </c>
      <c r="B188" s="39">
        <v>0</v>
      </c>
      <c r="C188" s="39">
        <v>126118.46331700002</v>
      </c>
      <c r="D188" s="39">
        <v>0</v>
      </c>
      <c r="E188" s="39">
        <v>111273.7147358323</v>
      </c>
      <c r="F188" s="39">
        <v>126118.46331700002</v>
      </c>
      <c r="G188" s="39">
        <v>111273.7147358323</v>
      </c>
    </row>
    <row r="189" spans="1:7" ht="11.25" customHeight="1" x14ac:dyDescent="0.2">
      <c r="A189" s="49">
        <v>44470</v>
      </c>
      <c r="B189" s="39">
        <v>0</v>
      </c>
      <c r="C189" s="39">
        <v>46999.652700000006</v>
      </c>
      <c r="D189" s="39">
        <v>0</v>
      </c>
      <c r="E189" s="39">
        <v>41467.567949014505</v>
      </c>
      <c r="F189" s="39">
        <v>46999.652700000006</v>
      </c>
      <c r="G189" s="39">
        <v>41467.567949014505</v>
      </c>
    </row>
    <row r="190" spans="1:7" ht="11.25" customHeight="1" x14ac:dyDescent="0.2">
      <c r="A190" s="49">
        <v>44501</v>
      </c>
      <c r="B190" s="39">
        <v>0</v>
      </c>
      <c r="C190" s="39">
        <v>22239.680848000004</v>
      </c>
      <c r="D190" s="39">
        <v>0</v>
      </c>
      <c r="E190" s="39">
        <v>19621.963647591732</v>
      </c>
      <c r="F190" s="39">
        <v>22239.680848000004</v>
      </c>
      <c r="G190" s="39">
        <v>19621.963647591732</v>
      </c>
    </row>
    <row r="191" spans="1:7" ht="11.25" customHeight="1" x14ac:dyDescent="0.2">
      <c r="A191" s="49">
        <v>44531</v>
      </c>
      <c r="B191" s="39">
        <v>0</v>
      </c>
      <c r="C191" s="39">
        <v>11341.764280000001</v>
      </c>
      <c r="D191" s="39">
        <v>0</v>
      </c>
      <c r="E191" s="39">
        <v>10006.784176569152</v>
      </c>
      <c r="F191" s="39">
        <v>11341.764280000001</v>
      </c>
      <c r="G191" s="39">
        <v>10006.784176569152</v>
      </c>
    </row>
    <row r="192" spans="1:7" ht="11.25" customHeight="1" x14ac:dyDescent="0.2">
      <c r="A192" s="49">
        <v>44562</v>
      </c>
      <c r="B192" s="39">
        <v>0</v>
      </c>
      <c r="C192" s="39">
        <v>8111.1350320000001</v>
      </c>
      <c r="D192" s="39">
        <v>0</v>
      </c>
      <c r="E192" s="39">
        <v>7156.4155001318104</v>
      </c>
      <c r="F192" s="39">
        <v>8111.1350320000001</v>
      </c>
      <c r="G192" s="39">
        <v>7156.4155001318104</v>
      </c>
    </row>
    <row r="193" spans="1:7" ht="11.25" customHeight="1" x14ac:dyDescent="0.2">
      <c r="A193" s="49">
        <v>44593</v>
      </c>
      <c r="B193" s="39">
        <v>0</v>
      </c>
      <c r="C193" s="39">
        <v>16541.96775</v>
      </c>
      <c r="D193" s="39">
        <v>0</v>
      </c>
      <c r="E193" s="39">
        <v>14594.898733869401</v>
      </c>
      <c r="F193" s="39">
        <v>16541.96775</v>
      </c>
      <c r="G193" s="39">
        <v>14594.898733869401</v>
      </c>
    </row>
    <row r="194" spans="1:7" ht="11.25" customHeight="1" x14ac:dyDescent="0.2">
      <c r="A194" s="49">
        <v>44621</v>
      </c>
      <c r="B194" s="39">
        <v>0</v>
      </c>
      <c r="C194" s="39">
        <v>19264.627844000002</v>
      </c>
      <c r="D194" s="39">
        <v>0</v>
      </c>
      <c r="E194" s="39">
        <v>16997.088664307234</v>
      </c>
      <c r="F194" s="39">
        <v>19264.627844000002</v>
      </c>
      <c r="G194" s="39">
        <v>16997.088664307234</v>
      </c>
    </row>
    <row r="195" spans="1:7" ht="11.25" customHeight="1" x14ac:dyDescent="0.2">
      <c r="A195" s="49">
        <v>44652</v>
      </c>
      <c r="B195" s="39">
        <v>0</v>
      </c>
      <c r="C195" s="39">
        <v>43289.931685000003</v>
      </c>
      <c r="D195" s="39">
        <v>0</v>
      </c>
      <c r="E195" s="39">
        <v>38194.498906497945</v>
      </c>
      <c r="F195" s="39">
        <v>43289.931685000003</v>
      </c>
      <c r="G195" s="39">
        <v>38194.498906497945</v>
      </c>
    </row>
    <row r="196" spans="1:7" ht="11.25" customHeight="1" x14ac:dyDescent="0.2">
      <c r="A196" s="49">
        <v>44682</v>
      </c>
      <c r="B196" s="39">
        <v>0</v>
      </c>
      <c r="C196" s="39">
        <v>90240.242708000005</v>
      </c>
      <c r="D196" s="39">
        <v>0</v>
      </c>
      <c r="E196" s="39">
        <v>79618.532930766756</v>
      </c>
      <c r="F196" s="39">
        <v>90240.242708000005</v>
      </c>
      <c r="G196" s="39">
        <v>79618.532930766756</v>
      </c>
    </row>
    <row r="197" spans="1:7" ht="11.25" customHeight="1" x14ac:dyDescent="0.2">
      <c r="A197" s="49">
        <v>44713</v>
      </c>
      <c r="B197" s="39">
        <v>0</v>
      </c>
      <c r="C197" s="39">
        <v>25483.498194</v>
      </c>
      <c r="D197" s="39">
        <v>0</v>
      </c>
      <c r="E197" s="39">
        <v>22483.968119583216</v>
      </c>
      <c r="F197" s="39">
        <v>25483.498194</v>
      </c>
      <c r="G197" s="39">
        <v>22483.968119583216</v>
      </c>
    </row>
    <row r="198" spans="1:7" ht="11.25" customHeight="1" x14ac:dyDescent="0.2">
      <c r="A198" s="49">
        <v>44743</v>
      </c>
      <c r="B198" s="39">
        <v>0</v>
      </c>
      <c r="C198" s="39">
        <v>67203.364073999997</v>
      </c>
      <c r="D198" s="39">
        <v>0</v>
      </c>
      <c r="E198" s="39">
        <v>59293.205503643112</v>
      </c>
      <c r="F198" s="39">
        <v>67203.364073999997</v>
      </c>
      <c r="G198" s="39">
        <v>59293.205503643112</v>
      </c>
    </row>
    <row r="199" spans="1:7" ht="11.25" customHeight="1" x14ac:dyDescent="0.2">
      <c r="A199" s="49">
        <v>44774</v>
      </c>
      <c r="B199" s="39">
        <v>0</v>
      </c>
      <c r="C199" s="39">
        <v>114107.06199200002</v>
      </c>
      <c r="D199" s="39">
        <v>0</v>
      </c>
      <c r="E199" s="39">
        <v>100676.11300914295</v>
      </c>
      <c r="F199" s="39">
        <v>114107.06199200002</v>
      </c>
      <c r="G199" s="39">
        <v>100676.11300914295</v>
      </c>
    </row>
    <row r="200" spans="1:7" ht="11.25" customHeight="1" x14ac:dyDescent="0.2">
      <c r="A200" s="42" t="s">
        <v>40</v>
      </c>
      <c r="B200" s="39">
        <v>0</v>
      </c>
      <c r="C200" s="39">
        <v>270973.6778</v>
      </c>
      <c r="D200" s="39">
        <v>0</v>
      </c>
      <c r="E200" s="39">
        <v>264047.10972409288</v>
      </c>
      <c r="F200" s="39">
        <v>270973.6778</v>
      </c>
      <c r="G200" s="39">
        <v>264047.10972409288</v>
      </c>
    </row>
    <row r="201" spans="1:7" ht="11.25" customHeight="1" x14ac:dyDescent="0.2">
      <c r="A201" s="43" t="s">
        <v>23</v>
      </c>
      <c r="B201" s="39">
        <v>0</v>
      </c>
      <c r="C201" s="39">
        <v>270973.6778</v>
      </c>
      <c r="D201" s="39">
        <v>0</v>
      </c>
      <c r="E201" s="39">
        <v>264047.10972409288</v>
      </c>
      <c r="F201" s="39">
        <v>270973.6778</v>
      </c>
      <c r="G201" s="39">
        <v>264047.10972409288</v>
      </c>
    </row>
    <row r="202" spans="1:7" ht="11.25" customHeight="1" x14ac:dyDescent="0.2">
      <c r="A202" s="44" t="s">
        <v>41</v>
      </c>
      <c r="B202" s="39">
        <v>0</v>
      </c>
      <c r="C202" s="39">
        <v>270973.6778</v>
      </c>
      <c r="D202" s="39">
        <v>0</v>
      </c>
      <c r="E202" s="39">
        <v>264047.10972409288</v>
      </c>
      <c r="F202" s="39">
        <v>270973.6778</v>
      </c>
      <c r="G202" s="39">
        <v>264047.10972409288</v>
      </c>
    </row>
    <row r="203" spans="1:7" ht="11.25" customHeight="1" x14ac:dyDescent="0.2">
      <c r="A203" s="45" t="s">
        <v>50</v>
      </c>
      <c r="B203" s="39">
        <v>0</v>
      </c>
      <c r="C203" s="39">
        <v>270111.14244800003</v>
      </c>
      <c r="D203" s="39">
        <v>0</v>
      </c>
      <c r="E203" s="39">
        <v>263206.62230634986</v>
      </c>
      <c r="F203" s="39">
        <v>270111.14244800003</v>
      </c>
      <c r="G203" s="39">
        <v>263206.62230634986</v>
      </c>
    </row>
    <row r="204" spans="1:7" ht="11.25" customHeight="1" x14ac:dyDescent="0.2">
      <c r="A204" s="46" t="s">
        <v>52</v>
      </c>
      <c r="B204" s="39">
        <v>0</v>
      </c>
      <c r="C204" s="39">
        <v>270111.14244800003</v>
      </c>
      <c r="D204" s="39">
        <v>0</v>
      </c>
      <c r="E204" s="39">
        <v>263206.62230634986</v>
      </c>
      <c r="F204" s="39">
        <v>270111.14244800003</v>
      </c>
      <c r="G204" s="39">
        <v>263206.62230634986</v>
      </c>
    </row>
    <row r="205" spans="1:7" ht="11.25" customHeight="1" x14ac:dyDescent="0.2">
      <c r="A205" s="47" t="s">
        <v>25</v>
      </c>
      <c r="B205" s="39">
        <v>0</v>
      </c>
      <c r="C205" s="39">
        <v>270111.14244800003</v>
      </c>
      <c r="D205" s="39">
        <v>0</v>
      </c>
      <c r="E205" s="39">
        <v>263206.62230634986</v>
      </c>
      <c r="F205" s="39">
        <v>270111.14244800003</v>
      </c>
      <c r="G205" s="39">
        <v>263206.62230634986</v>
      </c>
    </row>
    <row r="206" spans="1:7" ht="11.25" customHeight="1" x14ac:dyDescent="0.2">
      <c r="A206" s="48" t="s">
        <v>25</v>
      </c>
      <c r="B206" s="39">
        <v>0</v>
      </c>
      <c r="C206" s="39">
        <v>270111.14244800003</v>
      </c>
      <c r="D206" s="39">
        <v>0</v>
      </c>
      <c r="E206" s="39">
        <v>263206.62230634986</v>
      </c>
      <c r="F206" s="39">
        <v>270111.14244800003</v>
      </c>
      <c r="G206" s="39">
        <v>263206.62230634986</v>
      </c>
    </row>
    <row r="207" spans="1:7" ht="11.25" customHeight="1" x14ac:dyDescent="0.2">
      <c r="A207" s="49">
        <v>44440</v>
      </c>
      <c r="B207" s="39">
        <v>0</v>
      </c>
      <c r="C207" s="39">
        <v>36141.63173600001</v>
      </c>
      <c r="D207" s="39">
        <v>0</v>
      </c>
      <c r="E207" s="39">
        <v>35217.787491694704</v>
      </c>
      <c r="F207" s="39">
        <v>36141.63173600001</v>
      </c>
      <c r="G207" s="39">
        <v>35217.787491694704</v>
      </c>
    </row>
    <row r="208" spans="1:7" ht="11.25" customHeight="1" x14ac:dyDescent="0.2">
      <c r="A208" s="49">
        <v>44470</v>
      </c>
      <c r="B208" s="39">
        <v>0</v>
      </c>
      <c r="C208" s="39">
        <v>46134.931724000009</v>
      </c>
      <c r="D208" s="39">
        <v>0</v>
      </c>
      <c r="E208" s="39">
        <v>44955.640997837763</v>
      </c>
      <c r="F208" s="39">
        <v>46134.931724000009</v>
      </c>
      <c r="G208" s="39">
        <v>44955.640997837763</v>
      </c>
    </row>
    <row r="209" spans="1:7" ht="11.25" customHeight="1" x14ac:dyDescent="0.2">
      <c r="A209" s="49">
        <v>44501</v>
      </c>
      <c r="B209" s="39">
        <v>0</v>
      </c>
      <c r="C209" s="39">
        <v>9317.3589600000032</v>
      </c>
      <c r="D209" s="39">
        <v>0</v>
      </c>
      <c r="E209" s="39">
        <v>9079.1907303473163</v>
      </c>
      <c r="F209" s="39">
        <v>9317.3589600000032</v>
      </c>
      <c r="G209" s="39">
        <v>9079.1907303473163</v>
      </c>
    </row>
    <row r="210" spans="1:7" ht="11.25" customHeight="1" x14ac:dyDescent="0.2">
      <c r="A210" s="49">
        <v>44531</v>
      </c>
      <c r="B210" s="39">
        <v>0</v>
      </c>
      <c r="C210" s="39">
        <v>7116.9464240000007</v>
      </c>
      <c r="D210" s="39">
        <v>0</v>
      </c>
      <c r="E210" s="39">
        <v>6935.0246436313391</v>
      </c>
      <c r="F210" s="39">
        <v>7116.9464240000007</v>
      </c>
      <c r="G210" s="39">
        <v>6935.0246436313391</v>
      </c>
    </row>
    <row r="211" spans="1:7" ht="11.25" customHeight="1" x14ac:dyDescent="0.2">
      <c r="A211" s="49">
        <v>44562</v>
      </c>
      <c r="B211" s="39">
        <v>0</v>
      </c>
      <c r="C211" s="39">
        <v>2292.2680200000009</v>
      </c>
      <c r="D211" s="39">
        <v>0</v>
      </c>
      <c r="E211" s="39">
        <v>2233.6735815377019</v>
      </c>
      <c r="F211" s="39">
        <v>2292.2680200000009</v>
      </c>
      <c r="G211" s="39">
        <v>2233.6735815377019</v>
      </c>
    </row>
    <row r="212" spans="1:7" ht="11.25" customHeight="1" x14ac:dyDescent="0.2">
      <c r="A212" s="49">
        <v>44593</v>
      </c>
      <c r="B212" s="39">
        <v>0</v>
      </c>
      <c r="C212" s="39">
        <v>2025.7635440000004</v>
      </c>
      <c r="D212" s="39">
        <v>0</v>
      </c>
      <c r="E212" s="39">
        <v>1973.9814328845312</v>
      </c>
      <c r="F212" s="39">
        <v>2025.7635440000004</v>
      </c>
      <c r="G212" s="39">
        <v>1973.9814328845312</v>
      </c>
    </row>
    <row r="213" spans="1:7" ht="11.25" customHeight="1" x14ac:dyDescent="0.2">
      <c r="A213" s="49">
        <v>44621</v>
      </c>
      <c r="B213" s="39">
        <v>0</v>
      </c>
      <c r="C213" s="39">
        <v>5280.248652000002</v>
      </c>
      <c r="D213" s="39">
        <v>0</v>
      </c>
      <c r="E213" s="39">
        <v>5145.2761260973575</v>
      </c>
      <c r="F213" s="39">
        <v>5280.248652000002</v>
      </c>
      <c r="G213" s="39">
        <v>5145.2761260973575</v>
      </c>
    </row>
    <row r="214" spans="1:7" ht="11.25" customHeight="1" x14ac:dyDescent="0.2">
      <c r="A214" s="49">
        <v>44652</v>
      </c>
      <c r="B214" s="39">
        <v>0</v>
      </c>
      <c r="C214" s="39">
        <v>9588.8063320000019</v>
      </c>
      <c r="D214" s="39">
        <v>0</v>
      </c>
      <c r="E214" s="39">
        <v>9343.6994258070354</v>
      </c>
      <c r="F214" s="39">
        <v>9588.8063320000019</v>
      </c>
      <c r="G214" s="39">
        <v>9343.6994258070354</v>
      </c>
    </row>
    <row r="215" spans="1:7" ht="11.25" customHeight="1" x14ac:dyDescent="0.2">
      <c r="A215" s="49">
        <v>44682</v>
      </c>
      <c r="B215" s="39">
        <v>0</v>
      </c>
      <c r="C215" s="39">
        <v>29574.170584000007</v>
      </c>
      <c r="D215" s="39">
        <v>0</v>
      </c>
      <c r="E215" s="39">
        <v>28818.202301391539</v>
      </c>
      <c r="F215" s="39">
        <v>29574.170584000007</v>
      </c>
      <c r="G215" s="39">
        <v>28818.202301391539</v>
      </c>
    </row>
    <row r="216" spans="1:7" ht="11.25" customHeight="1" x14ac:dyDescent="0.2">
      <c r="A216" s="49">
        <v>44713</v>
      </c>
      <c r="B216" s="39">
        <v>0</v>
      </c>
      <c r="C216" s="39">
        <v>34357.658188000009</v>
      </c>
      <c r="D216" s="39">
        <v>0</v>
      </c>
      <c r="E216" s="39">
        <v>33479.415473430585</v>
      </c>
      <c r="F216" s="39">
        <v>34357.658188000009</v>
      </c>
      <c r="G216" s="39">
        <v>33479.415473430585</v>
      </c>
    </row>
    <row r="217" spans="1:7" ht="11.25" customHeight="1" x14ac:dyDescent="0.2">
      <c r="A217" s="49">
        <v>44743</v>
      </c>
      <c r="B217" s="39">
        <v>0</v>
      </c>
      <c r="C217" s="39">
        <v>37649.215016000009</v>
      </c>
      <c r="D217" s="39">
        <v>0</v>
      </c>
      <c r="E217" s="39">
        <v>36686.834267692546</v>
      </c>
      <c r="F217" s="39">
        <v>37649.215016000009</v>
      </c>
      <c r="G217" s="39">
        <v>36686.834267692546</v>
      </c>
    </row>
    <row r="218" spans="1:7" ht="11.25" customHeight="1" x14ac:dyDescent="0.2">
      <c r="A218" s="49">
        <v>44774</v>
      </c>
      <c r="B218" s="39">
        <v>0</v>
      </c>
      <c r="C218" s="39">
        <v>50632.143268000014</v>
      </c>
      <c r="D218" s="39">
        <v>0</v>
      </c>
      <c r="E218" s="39">
        <v>49337.895833997456</v>
      </c>
      <c r="F218" s="39">
        <v>50632.143268000014</v>
      </c>
      <c r="G218" s="39">
        <v>49337.895833997456</v>
      </c>
    </row>
    <row r="219" spans="1:7" ht="11.25" customHeight="1" x14ac:dyDescent="0.2">
      <c r="A219" s="45" t="s">
        <v>53</v>
      </c>
      <c r="B219" s="39">
        <v>0</v>
      </c>
      <c r="C219" s="39">
        <v>862.53535200000022</v>
      </c>
      <c r="D219" s="39">
        <v>0</v>
      </c>
      <c r="E219" s="39">
        <v>840.48741774302744</v>
      </c>
      <c r="F219" s="39">
        <v>862.53535200000022</v>
      </c>
      <c r="G219" s="39">
        <v>840.48741774302744</v>
      </c>
    </row>
    <row r="220" spans="1:7" ht="11.25" customHeight="1" x14ac:dyDescent="0.2">
      <c r="A220" s="46" t="s">
        <v>52</v>
      </c>
      <c r="B220" s="39">
        <v>0</v>
      </c>
      <c r="C220" s="39">
        <v>862.53535200000022</v>
      </c>
      <c r="D220" s="39">
        <v>0</v>
      </c>
      <c r="E220" s="39">
        <v>840.48741774302744</v>
      </c>
      <c r="F220" s="39">
        <v>862.53535200000022</v>
      </c>
      <c r="G220" s="39">
        <v>840.48741774302744</v>
      </c>
    </row>
    <row r="221" spans="1:7" ht="11.25" customHeight="1" x14ac:dyDescent="0.2">
      <c r="A221" s="47" t="s">
        <v>25</v>
      </c>
      <c r="B221" s="39">
        <v>0</v>
      </c>
      <c r="C221" s="39">
        <v>862.53535200000022</v>
      </c>
      <c r="D221" s="39">
        <v>0</v>
      </c>
      <c r="E221" s="39">
        <v>840.48741774302744</v>
      </c>
      <c r="F221" s="39">
        <v>862.53535200000022</v>
      </c>
      <c r="G221" s="39">
        <v>840.48741774302744</v>
      </c>
    </row>
    <row r="222" spans="1:7" ht="11.25" customHeight="1" x14ac:dyDescent="0.2">
      <c r="A222" s="48" t="s">
        <v>25</v>
      </c>
      <c r="B222" s="39">
        <v>0</v>
      </c>
      <c r="C222" s="39">
        <v>862.53535200000022</v>
      </c>
      <c r="D222" s="39">
        <v>0</v>
      </c>
      <c r="E222" s="39">
        <v>840.48741774302744</v>
      </c>
      <c r="F222" s="39">
        <v>862.53535200000022</v>
      </c>
      <c r="G222" s="39">
        <v>840.48741774302744</v>
      </c>
    </row>
    <row r="223" spans="1:7" ht="11.25" customHeight="1" x14ac:dyDescent="0.2">
      <c r="A223" s="49">
        <v>44743</v>
      </c>
      <c r="B223" s="39">
        <v>0</v>
      </c>
      <c r="C223" s="39">
        <v>561.0186960000002</v>
      </c>
      <c r="D223" s="39">
        <v>0</v>
      </c>
      <c r="E223" s="39">
        <v>546.67806254345919</v>
      </c>
      <c r="F223" s="39">
        <v>561.0186960000002</v>
      </c>
      <c r="G223" s="39">
        <v>546.67806254345919</v>
      </c>
    </row>
    <row r="224" spans="1:7" ht="11.25" customHeight="1" x14ac:dyDescent="0.2">
      <c r="A224" s="49">
        <v>44774</v>
      </c>
      <c r="B224" s="39">
        <v>0</v>
      </c>
      <c r="C224" s="39">
        <v>301.51665600000001</v>
      </c>
      <c r="D224" s="39">
        <v>0</v>
      </c>
      <c r="E224" s="39">
        <v>293.80935519956824</v>
      </c>
      <c r="F224" s="39">
        <v>301.51665600000001</v>
      </c>
      <c r="G224" s="39">
        <v>293.80935519956824</v>
      </c>
    </row>
    <row r="225" spans="1:7" ht="11.25" customHeight="1" x14ac:dyDescent="0.2">
      <c r="A225" s="41" t="s">
        <v>610</v>
      </c>
      <c r="B225" s="39">
        <v>33468.000800000002</v>
      </c>
      <c r="C225" s="39">
        <v>397827.50916680036</v>
      </c>
      <c r="D225" s="39">
        <v>45336.491487686202</v>
      </c>
      <c r="E225" s="39">
        <v>227522.09767217407</v>
      </c>
      <c r="F225" s="39">
        <v>431295.5099668004</v>
      </c>
      <c r="G225" s="39">
        <v>272858.58915986028</v>
      </c>
    </row>
    <row r="226" spans="1:7" ht="11.25" customHeight="1" x14ac:dyDescent="0.2">
      <c r="A226" s="42" t="s">
        <v>35</v>
      </c>
      <c r="B226" s="39">
        <v>33468.000800000002</v>
      </c>
      <c r="C226" s="39">
        <v>61513.260846799974</v>
      </c>
      <c r="D226" s="39">
        <v>45336.491487686202</v>
      </c>
      <c r="E226" s="39">
        <v>57362.761586764231</v>
      </c>
      <c r="F226" s="39">
        <v>94981.261646799976</v>
      </c>
      <c r="G226" s="39">
        <v>102699.25307445043</v>
      </c>
    </row>
    <row r="227" spans="1:7" ht="11.25" customHeight="1" x14ac:dyDescent="0.2">
      <c r="A227" s="43" t="s">
        <v>36</v>
      </c>
      <c r="B227" s="39">
        <v>33468.000800000002</v>
      </c>
      <c r="C227" s="39">
        <v>61513.260846799974</v>
      </c>
      <c r="D227" s="39">
        <v>45336.491487686202</v>
      </c>
      <c r="E227" s="39">
        <v>57362.761586764231</v>
      </c>
      <c r="F227" s="39">
        <v>94981.261646799976</v>
      </c>
      <c r="G227" s="39">
        <v>102699.25307445043</v>
      </c>
    </row>
    <row r="228" spans="1:7" ht="11.25" customHeight="1" x14ac:dyDescent="0.2">
      <c r="A228" s="44" t="s">
        <v>41</v>
      </c>
      <c r="B228" s="39">
        <v>33468.000800000002</v>
      </c>
      <c r="C228" s="39">
        <v>61513.260846799974</v>
      </c>
      <c r="D228" s="39">
        <v>45336.491487686202</v>
      </c>
      <c r="E228" s="39">
        <v>57362.761586764231</v>
      </c>
      <c r="F228" s="39">
        <v>94981.261646799976</v>
      </c>
      <c r="G228" s="39">
        <v>102699.25307445043</v>
      </c>
    </row>
    <row r="229" spans="1:7" ht="11.25" customHeight="1" x14ac:dyDescent="0.2">
      <c r="A229" s="45" t="s">
        <v>50</v>
      </c>
      <c r="B229" s="39">
        <v>30562.907200000005</v>
      </c>
      <c r="C229" s="39">
        <v>51783.388173999992</v>
      </c>
      <c r="D229" s="39">
        <v>41401.187671530817</v>
      </c>
      <c r="E229" s="39">
        <v>47806.437383750112</v>
      </c>
      <c r="F229" s="39">
        <v>82346.295373999994</v>
      </c>
      <c r="G229" s="39">
        <v>89207.625055280922</v>
      </c>
    </row>
    <row r="230" spans="1:7" ht="11.25" customHeight="1" x14ac:dyDescent="0.2">
      <c r="A230" s="46" t="s">
        <v>25</v>
      </c>
      <c r="B230" s="39">
        <v>30562.907200000005</v>
      </c>
      <c r="C230" s="39">
        <v>51783.388173999992</v>
      </c>
      <c r="D230" s="39">
        <v>41401.187671530817</v>
      </c>
      <c r="E230" s="39">
        <v>47806.437383750112</v>
      </c>
      <c r="F230" s="39">
        <v>82346.295373999994</v>
      </c>
      <c r="G230" s="39">
        <v>89207.625055280922</v>
      </c>
    </row>
    <row r="231" spans="1:7" ht="11.25" customHeight="1" x14ac:dyDescent="0.2">
      <c r="A231" s="47" t="s">
        <v>25</v>
      </c>
      <c r="B231" s="39">
        <v>30562.907200000005</v>
      </c>
      <c r="C231" s="39">
        <v>51783.388173999992</v>
      </c>
      <c r="D231" s="39">
        <v>41401.187671530817</v>
      </c>
      <c r="E231" s="39">
        <v>47806.437383750112</v>
      </c>
      <c r="F231" s="39">
        <v>82346.295373999994</v>
      </c>
      <c r="G231" s="39">
        <v>89207.625055280922</v>
      </c>
    </row>
    <row r="232" spans="1:7" ht="11.25" customHeight="1" x14ac:dyDescent="0.2">
      <c r="A232" s="48" t="s">
        <v>38</v>
      </c>
      <c r="B232" s="39">
        <v>0</v>
      </c>
      <c r="C232" s="39">
        <v>43659.750639999998</v>
      </c>
      <c r="D232" s="39">
        <v>0</v>
      </c>
      <c r="E232" s="39">
        <v>38520.788395128489</v>
      </c>
      <c r="F232" s="39">
        <v>43659.750639999998</v>
      </c>
      <c r="G232" s="39">
        <v>38520.788395128489</v>
      </c>
    </row>
    <row r="233" spans="1:7" ht="11.25" customHeight="1" x14ac:dyDescent="0.2">
      <c r="A233" s="49">
        <v>44440</v>
      </c>
      <c r="B233" s="39">
        <v>0</v>
      </c>
      <c r="C233" s="39">
        <v>10687.569653200018</v>
      </c>
      <c r="D233" s="39">
        <v>0</v>
      </c>
      <c r="E233" s="39">
        <v>9429.5913978933968</v>
      </c>
      <c r="F233" s="39">
        <v>10687.569653200018</v>
      </c>
      <c r="G233" s="39">
        <v>9429.5913978933968</v>
      </c>
    </row>
    <row r="234" spans="1:7" ht="11.25" customHeight="1" x14ac:dyDescent="0.2">
      <c r="A234" s="49">
        <v>44470</v>
      </c>
      <c r="B234" s="39">
        <v>0</v>
      </c>
      <c r="C234" s="39">
        <v>4645.3418571999982</v>
      </c>
      <c r="D234" s="39">
        <v>0</v>
      </c>
      <c r="E234" s="39">
        <v>4098.5628200150968</v>
      </c>
      <c r="F234" s="39">
        <v>4645.3418571999982</v>
      </c>
      <c r="G234" s="39">
        <v>4098.5628200150968</v>
      </c>
    </row>
    <row r="235" spans="1:7" ht="11.25" customHeight="1" x14ac:dyDescent="0.2">
      <c r="A235" s="49">
        <v>44501</v>
      </c>
      <c r="B235" s="39">
        <v>0</v>
      </c>
      <c r="C235" s="39">
        <v>1893.5899883999969</v>
      </c>
      <c r="D235" s="39">
        <v>0</v>
      </c>
      <c r="E235" s="39">
        <v>1670.7053563302277</v>
      </c>
      <c r="F235" s="39">
        <v>1893.5899883999969</v>
      </c>
      <c r="G235" s="39">
        <v>1670.7053563302277</v>
      </c>
    </row>
    <row r="236" spans="1:7" ht="11.25" customHeight="1" x14ac:dyDescent="0.2">
      <c r="A236" s="49">
        <v>44531</v>
      </c>
      <c r="B236" s="39">
        <v>0</v>
      </c>
      <c r="C236" s="39">
        <v>738.58546080000099</v>
      </c>
      <c r="D236" s="39">
        <v>0</v>
      </c>
      <c r="E236" s="39">
        <v>651.65040638434812</v>
      </c>
      <c r="F236" s="39">
        <v>738.58546080000099</v>
      </c>
      <c r="G236" s="39">
        <v>651.65040638434812</v>
      </c>
    </row>
    <row r="237" spans="1:7" ht="11.25" customHeight="1" x14ac:dyDescent="0.2">
      <c r="A237" s="49">
        <v>44562</v>
      </c>
      <c r="B237" s="39">
        <v>0</v>
      </c>
      <c r="C237" s="39">
        <v>694.47354679999989</v>
      </c>
      <c r="D237" s="39">
        <v>0</v>
      </c>
      <c r="E237" s="39">
        <v>612.73067642736214</v>
      </c>
      <c r="F237" s="39">
        <v>694.47354679999989</v>
      </c>
      <c r="G237" s="39">
        <v>612.73067642736214</v>
      </c>
    </row>
    <row r="238" spans="1:7" ht="11.25" customHeight="1" x14ac:dyDescent="0.2">
      <c r="A238" s="49">
        <v>44593</v>
      </c>
      <c r="B238" s="39">
        <v>0</v>
      </c>
      <c r="C238" s="39">
        <v>963.61469160000092</v>
      </c>
      <c r="D238" s="39">
        <v>0</v>
      </c>
      <c r="E238" s="39">
        <v>850.19261643590175</v>
      </c>
      <c r="F238" s="39">
        <v>963.61469160000092</v>
      </c>
      <c r="G238" s="39">
        <v>850.19261643590175</v>
      </c>
    </row>
    <row r="239" spans="1:7" ht="11.25" customHeight="1" x14ac:dyDescent="0.2">
      <c r="A239" s="49">
        <v>44621</v>
      </c>
      <c r="B239" s="39">
        <v>0</v>
      </c>
      <c r="C239" s="39">
        <v>860.30575840000211</v>
      </c>
      <c r="D239" s="39">
        <v>0</v>
      </c>
      <c r="E239" s="39">
        <v>759.0436406220623</v>
      </c>
      <c r="F239" s="39">
        <v>860.30575840000211</v>
      </c>
      <c r="G239" s="39">
        <v>759.0436406220623</v>
      </c>
    </row>
    <row r="240" spans="1:7" ht="11.25" customHeight="1" x14ac:dyDescent="0.2">
      <c r="A240" s="49">
        <v>44652</v>
      </c>
      <c r="B240" s="39">
        <v>0</v>
      </c>
      <c r="C240" s="39">
        <v>2323.8987860000011</v>
      </c>
      <c r="D240" s="39">
        <v>0</v>
      </c>
      <c r="E240" s="39">
        <v>2050.3647426970742</v>
      </c>
      <c r="F240" s="39">
        <v>2323.8987860000011</v>
      </c>
      <c r="G240" s="39">
        <v>2050.3647426970742</v>
      </c>
    </row>
    <row r="241" spans="1:7" ht="11.25" customHeight="1" x14ac:dyDescent="0.2">
      <c r="A241" s="49">
        <v>44682</v>
      </c>
      <c r="B241" s="39">
        <v>0</v>
      </c>
      <c r="C241" s="39">
        <v>6092.290595599995</v>
      </c>
      <c r="D241" s="39">
        <v>0</v>
      </c>
      <c r="E241" s="39">
        <v>5375.1987456321103</v>
      </c>
      <c r="F241" s="39">
        <v>6092.290595599995</v>
      </c>
      <c r="G241" s="39">
        <v>5375.1987456321103</v>
      </c>
    </row>
    <row r="242" spans="1:7" ht="11.25" customHeight="1" x14ac:dyDescent="0.2">
      <c r="A242" s="49">
        <v>44713</v>
      </c>
      <c r="B242" s="39">
        <v>0</v>
      </c>
      <c r="C242" s="39">
        <v>1377.928859999997</v>
      </c>
      <c r="D242" s="39">
        <v>0</v>
      </c>
      <c r="E242" s="39">
        <v>1215.7400182439637</v>
      </c>
      <c r="F242" s="39">
        <v>1377.928859999997</v>
      </c>
      <c r="G242" s="39">
        <v>1215.7400182439637</v>
      </c>
    </row>
    <row r="243" spans="1:7" ht="11.25" customHeight="1" x14ac:dyDescent="0.2">
      <c r="A243" s="49">
        <v>44743</v>
      </c>
      <c r="B243" s="39">
        <v>0</v>
      </c>
      <c r="C243" s="39">
        <v>4692.7540439999993</v>
      </c>
      <c r="D243" s="39">
        <v>0</v>
      </c>
      <c r="E243" s="39">
        <v>4140.3943648201157</v>
      </c>
      <c r="F243" s="39">
        <v>4692.7540439999993</v>
      </c>
      <c r="G243" s="39">
        <v>4140.3943648201157</v>
      </c>
    </row>
    <row r="244" spans="1:7" ht="11.25" customHeight="1" x14ac:dyDescent="0.2">
      <c r="A244" s="49">
        <v>44774</v>
      </c>
      <c r="B244" s="39">
        <v>0</v>
      </c>
      <c r="C244" s="39">
        <v>8689.3973979999901</v>
      </c>
      <c r="D244" s="39">
        <v>0</v>
      </c>
      <c r="E244" s="39">
        <v>7666.6136096268292</v>
      </c>
      <c r="F244" s="39">
        <v>8689.3973979999901</v>
      </c>
      <c r="G244" s="39">
        <v>7666.6136096268292</v>
      </c>
    </row>
    <row r="245" spans="1:7" ht="11.25" customHeight="1" x14ac:dyDescent="0.2">
      <c r="A245" s="48" t="s">
        <v>25</v>
      </c>
      <c r="B245" s="39">
        <v>30562.907200000005</v>
      </c>
      <c r="C245" s="39">
        <v>0</v>
      </c>
      <c r="D245" s="39">
        <v>41401.187671530817</v>
      </c>
      <c r="E245" s="39">
        <v>0</v>
      </c>
      <c r="F245" s="39">
        <v>30562.907200000005</v>
      </c>
      <c r="G245" s="39">
        <v>41401.187671530817</v>
      </c>
    </row>
    <row r="246" spans="1:7" ht="11.25" customHeight="1" x14ac:dyDescent="0.2">
      <c r="A246" s="49">
        <v>44440</v>
      </c>
      <c r="B246" s="39">
        <v>3319.7239999999979</v>
      </c>
      <c r="C246" s="39">
        <v>0</v>
      </c>
      <c r="D246" s="39">
        <v>4496.9712940686768</v>
      </c>
      <c r="E246" s="39">
        <v>0</v>
      </c>
      <c r="F246" s="39">
        <v>3319.7239999999979</v>
      </c>
      <c r="G246" s="39">
        <v>4496.9712940686768</v>
      </c>
    </row>
    <row r="247" spans="1:7" ht="11.25" customHeight="1" x14ac:dyDescent="0.2">
      <c r="A247" s="49">
        <v>44470</v>
      </c>
      <c r="B247" s="39">
        <v>3978.3071999999984</v>
      </c>
      <c r="C247" s="39">
        <v>0</v>
      </c>
      <c r="D247" s="39">
        <v>5389.1026113576718</v>
      </c>
      <c r="E247" s="39">
        <v>0</v>
      </c>
      <c r="F247" s="39">
        <v>3978.3071999999984</v>
      </c>
      <c r="G247" s="39">
        <v>5389.1026113576718</v>
      </c>
    </row>
    <row r="248" spans="1:7" ht="11.25" customHeight="1" x14ac:dyDescent="0.2">
      <c r="A248" s="49">
        <v>44501</v>
      </c>
      <c r="B248" s="39">
        <v>2154.4696000000013</v>
      </c>
      <c r="C248" s="39">
        <v>0</v>
      </c>
      <c r="D248" s="39">
        <v>2918.4920026916802</v>
      </c>
      <c r="E248" s="39">
        <v>0</v>
      </c>
      <c r="F248" s="39">
        <v>2154.4696000000013</v>
      </c>
      <c r="G248" s="39">
        <v>2918.4920026916802</v>
      </c>
    </row>
    <row r="249" spans="1:7" ht="11.25" customHeight="1" x14ac:dyDescent="0.2">
      <c r="A249" s="49">
        <v>44531</v>
      </c>
      <c r="B249" s="39">
        <v>1560.2255999999982</v>
      </c>
      <c r="C249" s="39">
        <v>0</v>
      </c>
      <c r="D249" s="39">
        <v>2113.5159836995704</v>
      </c>
      <c r="E249" s="39">
        <v>0</v>
      </c>
      <c r="F249" s="39">
        <v>1560.2255999999982</v>
      </c>
      <c r="G249" s="39">
        <v>2113.5159836995704</v>
      </c>
    </row>
    <row r="250" spans="1:7" ht="11.25" customHeight="1" x14ac:dyDescent="0.2">
      <c r="A250" s="49">
        <v>44562</v>
      </c>
      <c r="B250" s="39">
        <v>1462.8232000000005</v>
      </c>
      <c r="C250" s="39">
        <v>0</v>
      </c>
      <c r="D250" s="39">
        <v>1981.5725460001156</v>
      </c>
      <c r="E250" s="39">
        <v>0</v>
      </c>
      <c r="F250" s="39">
        <v>1462.8232000000005</v>
      </c>
      <c r="G250" s="39">
        <v>1981.5725460001156</v>
      </c>
    </row>
    <row r="251" spans="1:7" ht="11.25" customHeight="1" x14ac:dyDescent="0.2">
      <c r="A251" s="49">
        <v>44593</v>
      </c>
      <c r="B251" s="39">
        <v>1774.6896000000013</v>
      </c>
      <c r="C251" s="39">
        <v>0</v>
      </c>
      <c r="D251" s="39">
        <v>2404.0336446892065</v>
      </c>
      <c r="E251" s="39">
        <v>0</v>
      </c>
      <c r="F251" s="39">
        <v>1774.6896000000013</v>
      </c>
      <c r="G251" s="39">
        <v>2404.0336446892065</v>
      </c>
    </row>
    <row r="252" spans="1:7" ht="11.25" customHeight="1" x14ac:dyDescent="0.2">
      <c r="A252" s="49">
        <v>44621</v>
      </c>
      <c r="B252" s="39">
        <v>1407.42</v>
      </c>
      <c r="C252" s="39">
        <v>0</v>
      </c>
      <c r="D252" s="39">
        <v>1906.5221502444601</v>
      </c>
      <c r="E252" s="39">
        <v>0</v>
      </c>
      <c r="F252" s="39">
        <v>1407.42</v>
      </c>
      <c r="G252" s="39">
        <v>1906.5221502444601</v>
      </c>
    </row>
    <row r="253" spans="1:7" ht="11.25" customHeight="1" x14ac:dyDescent="0.2">
      <c r="A253" s="49">
        <v>44652</v>
      </c>
      <c r="B253" s="39">
        <v>2359.997599999997</v>
      </c>
      <c r="C253" s="39">
        <v>0</v>
      </c>
      <c r="D253" s="39">
        <v>3196.904761140072</v>
      </c>
      <c r="E253" s="39">
        <v>0</v>
      </c>
      <c r="F253" s="39">
        <v>2359.997599999997</v>
      </c>
      <c r="G253" s="39">
        <v>3196.904761140072</v>
      </c>
    </row>
    <row r="254" spans="1:7" ht="11.25" customHeight="1" x14ac:dyDescent="0.2">
      <c r="A254" s="49">
        <v>44682</v>
      </c>
      <c r="B254" s="39">
        <v>3371.5528000000018</v>
      </c>
      <c r="C254" s="39">
        <v>0</v>
      </c>
      <c r="D254" s="39">
        <v>4567.1797288078424</v>
      </c>
      <c r="E254" s="39">
        <v>0</v>
      </c>
      <c r="F254" s="39">
        <v>3371.5528000000018</v>
      </c>
      <c r="G254" s="39">
        <v>4567.1797288078424</v>
      </c>
    </row>
    <row r="255" spans="1:7" ht="11.25" customHeight="1" x14ac:dyDescent="0.2">
      <c r="A255" s="49">
        <v>44713</v>
      </c>
      <c r="B255" s="39">
        <v>2809.478400000005</v>
      </c>
      <c r="C255" s="39">
        <v>0</v>
      </c>
      <c r="D255" s="39">
        <v>3805.7813589641864</v>
      </c>
      <c r="E255" s="39">
        <v>0</v>
      </c>
      <c r="F255" s="39">
        <v>2809.478400000005</v>
      </c>
      <c r="G255" s="39">
        <v>3805.7813589641864</v>
      </c>
    </row>
    <row r="256" spans="1:7" ht="11.25" customHeight="1" x14ac:dyDescent="0.2">
      <c r="A256" s="49">
        <v>44743</v>
      </c>
      <c r="B256" s="39">
        <v>2812.1592000000023</v>
      </c>
      <c r="C256" s="39">
        <v>0</v>
      </c>
      <c r="D256" s="39">
        <v>3809.4128297265534</v>
      </c>
      <c r="E256" s="39">
        <v>0</v>
      </c>
      <c r="F256" s="39">
        <v>2812.1592000000023</v>
      </c>
      <c r="G256" s="39">
        <v>3809.4128297265534</v>
      </c>
    </row>
    <row r="257" spans="1:7" ht="11.25" customHeight="1" x14ac:dyDescent="0.2">
      <c r="A257" s="49">
        <v>44774</v>
      </c>
      <c r="B257" s="39">
        <v>3552.06</v>
      </c>
      <c r="C257" s="39">
        <v>0</v>
      </c>
      <c r="D257" s="39">
        <v>4811.6987601407809</v>
      </c>
      <c r="E257" s="39">
        <v>0</v>
      </c>
      <c r="F257" s="39">
        <v>3552.06</v>
      </c>
      <c r="G257" s="39">
        <v>4811.6987601407809</v>
      </c>
    </row>
    <row r="258" spans="1:7" ht="11.25" customHeight="1" x14ac:dyDescent="0.2">
      <c r="A258" s="48" t="s">
        <v>37</v>
      </c>
      <c r="B258" s="39">
        <v>0</v>
      </c>
      <c r="C258" s="39">
        <v>8123.6375340000004</v>
      </c>
      <c r="D258" s="39">
        <v>0</v>
      </c>
      <c r="E258" s="39">
        <v>9285.6489886216223</v>
      </c>
      <c r="F258" s="39">
        <v>8123.6375340000004</v>
      </c>
      <c r="G258" s="39">
        <v>9285.6489886216223</v>
      </c>
    </row>
    <row r="259" spans="1:7" ht="11.25" customHeight="1" x14ac:dyDescent="0.2">
      <c r="A259" s="49">
        <v>44440</v>
      </c>
      <c r="B259" s="39">
        <v>0</v>
      </c>
      <c r="C259" s="39">
        <v>1022.7858179999992</v>
      </c>
      <c r="D259" s="39">
        <v>0</v>
      </c>
      <c r="E259" s="39">
        <v>1169.0858998495821</v>
      </c>
      <c r="F259" s="39">
        <v>1022.7858179999992</v>
      </c>
      <c r="G259" s="39">
        <v>1169.0858998495821</v>
      </c>
    </row>
    <row r="260" spans="1:7" ht="11.25" customHeight="1" x14ac:dyDescent="0.2">
      <c r="A260" s="49">
        <v>44470</v>
      </c>
      <c r="B260" s="39">
        <v>0</v>
      </c>
      <c r="C260" s="39">
        <v>1403.3429280000014</v>
      </c>
      <c r="D260" s="39">
        <v>0</v>
      </c>
      <c r="E260" s="39">
        <v>1604.0781959477954</v>
      </c>
      <c r="F260" s="39">
        <v>1403.3429280000014</v>
      </c>
      <c r="G260" s="39">
        <v>1604.0781959477954</v>
      </c>
    </row>
    <row r="261" spans="1:7" ht="11.25" customHeight="1" x14ac:dyDescent="0.2">
      <c r="A261" s="49">
        <v>44501</v>
      </c>
      <c r="B261" s="39">
        <v>0</v>
      </c>
      <c r="C261" s="39">
        <v>751.58926800000063</v>
      </c>
      <c r="D261" s="39">
        <v>0</v>
      </c>
      <c r="E261" s="39">
        <v>859.09718362664103</v>
      </c>
      <c r="F261" s="39">
        <v>751.58926800000063</v>
      </c>
      <c r="G261" s="39">
        <v>859.09718362664103</v>
      </c>
    </row>
    <row r="262" spans="1:7" ht="11.25" customHeight="1" x14ac:dyDescent="0.2">
      <c r="A262" s="49">
        <v>44531</v>
      </c>
      <c r="B262" s="39">
        <v>0</v>
      </c>
      <c r="C262" s="39">
        <v>342.19271999999955</v>
      </c>
      <c r="D262" s="39">
        <v>0</v>
      </c>
      <c r="E262" s="39">
        <v>391.14023380325744</v>
      </c>
      <c r="F262" s="39">
        <v>342.19271999999955</v>
      </c>
      <c r="G262" s="39">
        <v>391.14023380325744</v>
      </c>
    </row>
    <row r="263" spans="1:7" ht="11.25" customHeight="1" x14ac:dyDescent="0.2">
      <c r="A263" s="49">
        <v>44562</v>
      </c>
      <c r="B263" s="39">
        <v>0</v>
      </c>
      <c r="C263" s="39">
        <v>431.79782399999908</v>
      </c>
      <c r="D263" s="39">
        <v>0</v>
      </c>
      <c r="E263" s="39">
        <v>493.56252183008939</v>
      </c>
      <c r="F263" s="39">
        <v>431.79782399999908</v>
      </c>
      <c r="G263" s="39">
        <v>493.56252183008939</v>
      </c>
    </row>
    <row r="264" spans="1:7" ht="11.25" customHeight="1" x14ac:dyDescent="0.2">
      <c r="A264" s="49">
        <v>44593</v>
      </c>
      <c r="B264" s="39">
        <v>0</v>
      </c>
      <c r="C264" s="39">
        <v>441.49916399999995</v>
      </c>
      <c r="D264" s="39">
        <v>0</v>
      </c>
      <c r="E264" s="39">
        <v>504.65154907708995</v>
      </c>
      <c r="F264" s="39">
        <v>441.49916399999995</v>
      </c>
      <c r="G264" s="39">
        <v>504.65154907708995</v>
      </c>
    </row>
    <row r="265" spans="1:7" ht="11.25" customHeight="1" x14ac:dyDescent="0.2">
      <c r="A265" s="49">
        <v>44621</v>
      </c>
      <c r="B265" s="39">
        <v>0</v>
      </c>
      <c r="C265" s="39">
        <v>343.78021200000012</v>
      </c>
      <c r="D265" s="39">
        <v>0</v>
      </c>
      <c r="E265" s="39">
        <v>392.95480189822166</v>
      </c>
      <c r="F265" s="39">
        <v>343.78021200000012</v>
      </c>
      <c r="G265" s="39">
        <v>392.95480189822166</v>
      </c>
    </row>
    <row r="266" spans="1:7" ht="11.25" customHeight="1" x14ac:dyDescent="0.2">
      <c r="A266" s="49">
        <v>44652</v>
      </c>
      <c r="B266" s="39">
        <v>0</v>
      </c>
      <c r="C266" s="39">
        <v>420.6853799999987</v>
      </c>
      <c r="D266" s="39">
        <v>0</v>
      </c>
      <c r="E266" s="39">
        <v>480.86054516534398</v>
      </c>
      <c r="F266" s="39">
        <v>420.6853799999987</v>
      </c>
      <c r="G266" s="39">
        <v>480.86054516534398</v>
      </c>
    </row>
    <row r="267" spans="1:7" ht="11.25" customHeight="1" x14ac:dyDescent="0.2">
      <c r="A267" s="49">
        <v>44682</v>
      </c>
      <c r="B267" s="39">
        <v>0</v>
      </c>
      <c r="C267" s="39">
        <v>419.71524600000021</v>
      </c>
      <c r="D267" s="39">
        <v>0</v>
      </c>
      <c r="E267" s="39">
        <v>479.75164244064575</v>
      </c>
      <c r="F267" s="39">
        <v>419.71524600000021</v>
      </c>
      <c r="G267" s="39">
        <v>479.75164244064575</v>
      </c>
    </row>
    <row r="268" spans="1:7" ht="11.25" customHeight="1" x14ac:dyDescent="0.2">
      <c r="A268" s="49">
        <v>44713</v>
      </c>
      <c r="B268" s="39">
        <v>0</v>
      </c>
      <c r="C268" s="39">
        <v>425.80063200000092</v>
      </c>
      <c r="D268" s="39">
        <v>0</v>
      </c>
      <c r="E268" s="39">
        <v>486.70748680467352</v>
      </c>
      <c r="F268" s="39">
        <v>425.80063200000092</v>
      </c>
      <c r="G268" s="39">
        <v>486.70748680467352</v>
      </c>
    </row>
    <row r="269" spans="1:7" ht="11.25" customHeight="1" x14ac:dyDescent="0.2">
      <c r="A269" s="49">
        <v>44743</v>
      </c>
      <c r="B269" s="39">
        <v>0</v>
      </c>
      <c r="C269" s="39">
        <v>565.94089800000052</v>
      </c>
      <c r="D269" s="39">
        <v>0</v>
      </c>
      <c r="E269" s="39">
        <v>646.89352585451252</v>
      </c>
      <c r="F269" s="39">
        <v>565.94089800000052</v>
      </c>
      <c r="G269" s="39">
        <v>646.89352585451252</v>
      </c>
    </row>
    <row r="270" spans="1:7" ht="11.25" customHeight="1" x14ac:dyDescent="0.2">
      <c r="A270" s="49">
        <v>44774</v>
      </c>
      <c r="B270" s="39">
        <v>0</v>
      </c>
      <c r="C270" s="39">
        <v>1554.5074440000008</v>
      </c>
      <c r="D270" s="39">
        <v>0</v>
      </c>
      <c r="E270" s="39">
        <v>1776.86540232377</v>
      </c>
      <c r="F270" s="39">
        <v>1554.5074440000008</v>
      </c>
      <c r="G270" s="39">
        <v>1776.86540232377</v>
      </c>
    </row>
    <row r="271" spans="1:7" ht="11.25" customHeight="1" x14ac:dyDescent="0.2">
      <c r="A271" s="45" t="s">
        <v>25</v>
      </c>
      <c r="B271" s="39">
        <v>2905.0935999999988</v>
      </c>
      <c r="C271" s="39">
        <v>9729.8726727999947</v>
      </c>
      <c r="D271" s="39">
        <v>3935.3038161553877</v>
      </c>
      <c r="E271" s="39">
        <v>9556.3242030141155</v>
      </c>
      <c r="F271" s="39">
        <v>12634.966272799993</v>
      </c>
      <c r="G271" s="39">
        <v>13491.628019169504</v>
      </c>
    </row>
    <row r="272" spans="1:7" ht="11.25" customHeight="1" x14ac:dyDescent="0.2">
      <c r="A272" s="46" t="s">
        <v>25</v>
      </c>
      <c r="B272" s="39">
        <v>2905.0935999999988</v>
      </c>
      <c r="C272" s="39">
        <v>9729.8726727999947</v>
      </c>
      <c r="D272" s="39">
        <v>3935.3038161553877</v>
      </c>
      <c r="E272" s="39">
        <v>9556.3242030141155</v>
      </c>
      <c r="F272" s="39">
        <v>12634.966272799993</v>
      </c>
      <c r="G272" s="39">
        <v>13491.628019169504</v>
      </c>
    </row>
    <row r="273" spans="1:7" ht="11.25" customHeight="1" x14ac:dyDescent="0.2">
      <c r="A273" s="47" t="s">
        <v>25</v>
      </c>
      <c r="B273" s="39">
        <v>2905.0935999999988</v>
      </c>
      <c r="C273" s="39">
        <v>9729.8726727999947</v>
      </c>
      <c r="D273" s="39">
        <v>3935.3038161553877</v>
      </c>
      <c r="E273" s="39">
        <v>9556.3242030141155</v>
      </c>
      <c r="F273" s="39">
        <v>12634.966272799993</v>
      </c>
      <c r="G273" s="39">
        <v>13491.628019169504</v>
      </c>
    </row>
    <row r="274" spans="1:7" ht="11.25" customHeight="1" x14ac:dyDescent="0.2">
      <c r="A274" s="48" t="s">
        <v>38</v>
      </c>
      <c r="B274" s="39">
        <v>0</v>
      </c>
      <c r="C274" s="39">
        <v>6003.2352027999941</v>
      </c>
      <c r="D274" s="39">
        <v>0</v>
      </c>
      <c r="E274" s="39">
        <v>5296.6256000871381</v>
      </c>
      <c r="F274" s="39">
        <v>6003.2352027999941</v>
      </c>
      <c r="G274" s="39">
        <v>5296.6256000871381</v>
      </c>
    </row>
    <row r="275" spans="1:7" ht="11.25" customHeight="1" x14ac:dyDescent="0.2">
      <c r="A275" s="49">
        <v>44440</v>
      </c>
      <c r="B275" s="39">
        <v>0</v>
      </c>
      <c r="C275" s="39">
        <v>633.01571080000008</v>
      </c>
      <c r="D275" s="39">
        <v>0</v>
      </c>
      <c r="E275" s="39">
        <v>558.50672276122407</v>
      </c>
      <c r="F275" s="39">
        <v>633.01571080000008</v>
      </c>
      <c r="G275" s="39">
        <v>558.50672276122407</v>
      </c>
    </row>
    <row r="276" spans="1:7" ht="11.25" customHeight="1" x14ac:dyDescent="0.2">
      <c r="A276" s="49">
        <v>44470</v>
      </c>
      <c r="B276" s="39">
        <v>0</v>
      </c>
      <c r="C276" s="39">
        <v>245.18168399999985</v>
      </c>
      <c r="D276" s="39">
        <v>0</v>
      </c>
      <c r="E276" s="39">
        <v>216.32262276533368</v>
      </c>
      <c r="F276" s="39">
        <v>245.18168399999985</v>
      </c>
      <c r="G276" s="39">
        <v>216.32262276533368</v>
      </c>
    </row>
    <row r="277" spans="1:7" ht="11.25" customHeight="1" x14ac:dyDescent="0.2">
      <c r="A277" s="49">
        <v>44501</v>
      </c>
      <c r="B277" s="39">
        <v>0</v>
      </c>
      <c r="C277" s="39">
        <v>208.98262879999984</v>
      </c>
      <c r="D277" s="39">
        <v>0</v>
      </c>
      <c r="E277" s="39">
        <v>184.38437014083871</v>
      </c>
      <c r="F277" s="39">
        <v>208.98262879999984</v>
      </c>
      <c r="G277" s="39">
        <v>184.38437014083871</v>
      </c>
    </row>
    <row r="278" spans="1:7" ht="11.25" customHeight="1" x14ac:dyDescent="0.2">
      <c r="A278" s="49">
        <v>44531</v>
      </c>
      <c r="B278" s="39">
        <v>0</v>
      </c>
      <c r="C278" s="39">
        <v>204.65589319999981</v>
      </c>
      <c r="D278" s="39">
        <v>0</v>
      </c>
      <c r="E278" s="39">
        <v>180.56691209203862</v>
      </c>
      <c r="F278" s="39">
        <v>204.65589319999981</v>
      </c>
      <c r="G278" s="39">
        <v>180.56691209203862</v>
      </c>
    </row>
    <row r="279" spans="1:7" ht="11.25" customHeight="1" x14ac:dyDescent="0.2">
      <c r="A279" s="49">
        <v>44562</v>
      </c>
      <c r="B279" s="39">
        <v>0</v>
      </c>
      <c r="C279" s="39">
        <v>188.93412120000005</v>
      </c>
      <c r="D279" s="39">
        <v>0</v>
      </c>
      <c r="E279" s="39">
        <v>166.69566813093374</v>
      </c>
      <c r="F279" s="39">
        <v>188.93412120000005</v>
      </c>
      <c r="G279" s="39">
        <v>166.69566813093374</v>
      </c>
    </row>
    <row r="280" spans="1:7" ht="11.25" customHeight="1" x14ac:dyDescent="0.2">
      <c r="A280" s="49">
        <v>44593</v>
      </c>
      <c r="B280" s="39">
        <v>0</v>
      </c>
      <c r="C280" s="39">
        <v>184.15262359999991</v>
      </c>
      <c r="D280" s="39">
        <v>0</v>
      </c>
      <c r="E280" s="39">
        <v>162.47697575268012</v>
      </c>
      <c r="F280" s="39">
        <v>184.15262359999991</v>
      </c>
      <c r="G280" s="39">
        <v>162.47697575268012</v>
      </c>
    </row>
    <row r="281" spans="1:7" ht="11.25" customHeight="1" x14ac:dyDescent="0.2">
      <c r="A281" s="49">
        <v>44621</v>
      </c>
      <c r="B281" s="39">
        <v>0</v>
      </c>
      <c r="C281" s="39">
        <v>232.09753160000011</v>
      </c>
      <c r="D281" s="39">
        <v>0</v>
      </c>
      <c r="E281" s="39">
        <v>204.77853791505879</v>
      </c>
      <c r="F281" s="39">
        <v>232.09753160000011</v>
      </c>
      <c r="G281" s="39">
        <v>204.77853791505879</v>
      </c>
    </row>
    <row r="282" spans="1:7" ht="11.25" customHeight="1" x14ac:dyDescent="0.2">
      <c r="A282" s="49">
        <v>44652</v>
      </c>
      <c r="B282" s="39">
        <v>0</v>
      </c>
      <c r="C282" s="39">
        <v>189.32391719999973</v>
      </c>
      <c r="D282" s="39">
        <v>0</v>
      </c>
      <c r="E282" s="39">
        <v>167.03958327046499</v>
      </c>
      <c r="F282" s="39">
        <v>189.32391719999973</v>
      </c>
      <c r="G282" s="39">
        <v>167.03958327046499</v>
      </c>
    </row>
    <row r="283" spans="1:7" ht="11.25" customHeight="1" x14ac:dyDescent="0.2">
      <c r="A283" s="49">
        <v>44682</v>
      </c>
      <c r="B283" s="39">
        <v>0</v>
      </c>
      <c r="C283" s="39">
        <v>933.13264439999625</v>
      </c>
      <c r="D283" s="39">
        <v>0</v>
      </c>
      <c r="E283" s="39">
        <v>823.29845252453174</v>
      </c>
      <c r="F283" s="39">
        <v>933.13264439999625</v>
      </c>
      <c r="G283" s="39">
        <v>823.29845252453174</v>
      </c>
    </row>
    <row r="284" spans="1:7" ht="11.25" customHeight="1" x14ac:dyDescent="0.2">
      <c r="A284" s="49">
        <v>44713</v>
      </c>
      <c r="B284" s="39">
        <v>0</v>
      </c>
      <c r="C284" s="39">
        <v>1124.4315280000014</v>
      </c>
      <c r="D284" s="39">
        <v>0</v>
      </c>
      <c r="E284" s="39">
        <v>992.08053916862809</v>
      </c>
      <c r="F284" s="39">
        <v>1124.4315280000014</v>
      </c>
      <c r="G284" s="39">
        <v>992.08053916862809</v>
      </c>
    </row>
    <row r="285" spans="1:7" ht="11.25" customHeight="1" x14ac:dyDescent="0.2">
      <c r="A285" s="49">
        <v>44743</v>
      </c>
      <c r="B285" s="39">
        <v>0</v>
      </c>
      <c r="C285" s="39">
        <v>925.28475159999789</v>
      </c>
      <c r="D285" s="39">
        <v>0</v>
      </c>
      <c r="E285" s="39">
        <v>816.374294381965</v>
      </c>
      <c r="F285" s="39">
        <v>925.28475159999789</v>
      </c>
      <c r="G285" s="39">
        <v>816.374294381965</v>
      </c>
    </row>
    <row r="286" spans="1:7" ht="11.25" customHeight="1" x14ac:dyDescent="0.2">
      <c r="A286" s="49">
        <v>44774</v>
      </c>
      <c r="B286" s="39">
        <v>0</v>
      </c>
      <c r="C286" s="39">
        <v>934.04216839999879</v>
      </c>
      <c r="D286" s="39">
        <v>0</v>
      </c>
      <c r="E286" s="39">
        <v>824.10092118344096</v>
      </c>
      <c r="F286" s="39">
        <v>934.04216839999879</v>
      </c>
      <c r="G286" s="39">
        <v>824.10092118344096</v>
      </c>
    </row>
    <row r="287" spans="1:7" ht="11.25" customHeight="1" x14ac:dyDescent="0.2">
      <c r="A287" s="48" t="s">
        <v>25</v>
      </c>
      <c r="B287" s="39">
        <v>2905.0935999999988</v>
      </c>
      <c r="C287" s="39">
        <v>0</v>
      </c>
      <c r="D287" s="39">
        <v>3935.3038161553877</v>
      </c>
      <c r="E287" s="39">
        <v>0</v>
      </c>
      <c r="F287" s="39">
        <v>2905.0935999999988</v>
      </c>
      <c r="G287" s="39">
        <v>3935.3038161553877</v>
      </c>
    </row>
    <row r="288" spans="1:7" ht="11.25" customHeight="1" x14ac:dyDescent="0.2">
      <c r="A288" s="49">
        <v>44440</v>
      </c>
      <c r="B288" s="39">
        <v>252.88879999999983</v>
      </c>
      <c r="C288" s="39">
        <v>0</v>
      </c>
      <c r="D288" s="39">
        <v>342.56874191694089</v>
      </c>
      <c r="E288" s="39">
        <v>0</v>
      </c>
      <c r="F288" s="39">
        <v>252.88879999999983</v>
      </c>
      <c r="G288" s="39">
        <v>342.56874191694089</v>
      </c>
    </row>
    <row r="289" spans="1:7" ht="11.25" customHeight="1" x14ac:dyDescent="0.2">
      <c r="A289" s="49">
        <v>44470</v>
      </c>
      <c r="B289" s="39">
        <v>214.46399999999988</v>
      </c>
      <c r="C289" s="39">
        <v>0</v>
      </c>
      <c r="D289" s="39">
        <v>290.51766098963185</v>
      </c>
      <c r="E289" s="39">
        <v>0</v>
      </c>
      <c r="F289" s="39">
        <v>214.46399999999988</v>
      </c>
      <c r="G289" s="39">
        <v>290.51766098963185</v>
      </c>
    </row>
    <row r="290" spans="1:7" ht="11.25" customHeight="1" x14ac:dyDescent="0.2">
      <c r="A290" s="49">
        <v>44501</v>
      </c>
      <c r="B290" s="39">
        <v>668.41279999999904</v>
      </c>
      <c r="C290" s="39">
        <v>0</v>
      </c>
      <c r="D290" s="39">
        <v>905.44671008435193</v>
      </c>
      <c r="E290" s="39">
        <v>0</v>
      </c>
      <c r="F290" s="39">
        <v>668.41279999999904</v>
      </c>
      <c r="G290" s="39">
        <v>905.44671008435193</v>
      </c>
    </row>
    <row r="291" spans="1:7" ht="11.25" customHeight="1" x14ac:dyDescent="0.2">
      <c r="A291" s="49">
        <v>44531</v>
      </c>
      <c r="B291" s="39">
        <v>157.27359999999982</v>
      </c>
      <c r="C291" s="39">
        <v>0</v>
      </c>
      <c r="D291" s="39">
        <v>213.04628472572992</v>
      </c>
      <c r="E291" s="39">
        <v>0</v>
      </c>
      <c r="F291" s="39">
        <v>157.27359999999982</v>
      </c>
      <c r="G291" s="39">
        <v>213.04628472572992</v>
      </c>
    </row>
    <row r="292" spans="1:7" ht="11.25" customHeight="1" x14ac:dyDescent="0.2">
      <c r="A292" s="49">
        <v>44562</v>
      </c>
      <c r="B292" s="39">
        <v>131.3591999999999</v>
      </c>
      <c r="C292" s="39">
        <v>0</v>
      </c>
      <c r="D292" s="39">
        <v>177.94206735614949</v>
      </c>
      <c r="E292" s="39">
        <v>0</v>
      </c>
      <c r="F292" s="39">
        <v>131.3591999999999</v>
      </c>
      <c r="G292" s="39">
        <v>177.94206735614949</v>
      </c>
    </row>
    <row r="293" spans="1:7" ht="11.25" customHeight="1" x14ac:dyDescent="0.2">
      <c r="A293" s="49">
        <v>44593</v>
      </c>
      <c r="B293" s="39">
        <v>141.18879999999984</v>
      </c>
      <c r="C293" s="39">
        <v>0</v>
      </c>
      <c r="D293" s="39">
        <v>191.25746015150756</v>
      </c>
      <c r="E293" s="39">
        <v>0</v>
      </c>
      <c r="F293" s="39">
        <v>141.18879999999984</v>
      </c>
      <c r="G293" s="39">
        <v>191.25746015150756</v>
      </c>
    </row>
    <row r="294" spans="1:7" ht="11.25" customHeight="1" x14ac:dyDescent="0.2">
      <c r="A294" s="49">
        <v>44621</v>
      </c>
      <c r="B294" s="39">
        <v>141.18879999999984</v>
      </c>
      <c r="C294" s="39">
        <v>0</v>
      </c>
      <c r="D294" s="39">
        <v>191.25746015150756</v>
      </c>
      <c r="E294" s="39">
        <v>0</v>
      </c>
      <c r="F294" s="39">
        <v>141.18879999999984</v>
      </c>
      <c r="G294" s="39">
        <v>191.25746015150756</v>
      </c>
    </row>
    <row r="295" spans="1:7" ht="11.25" customHeight="1" x14ac:dyDescent="0.2">
      <c r="A295" s="49">
        <v>44652</v>
      </c>
      <c r="B295" s="39">
        <v>134.93359999999981</v>
      </c>
      <c r="C295" s="39">
        <v>0</v>
      </c>
      <c r="D295" s="39">
        <v>182.78402837264323</v>
      </c>
      <c r="E295" s="39">
        <v>0</v>
      </c>
      <c r="F295" s="39">
        <v>134.93359999999981</v>
      </c>
      <c r="G295" s="39">
        <v>182.78402837264323</v>
      </c>
    </row>
    <row r="296" spans="1:7" ht="11.25" customHeight="1" x14ac:dyDescent="0.2">
      <c r="A296" s="49">
        <v>44682</v>
      </c>
      <c r="B296" s="39">
        <v>415.52400000000051</v>
      </c>
      <c r="C296" s="39">
        <v>0</v>
      </c>
      <c r="D296" s="39">
        <v>562.87796816741275</v>
      </c>
      <c r="E296" s="39">
        <v>0</v>
      </c>
      <c r="F296" s="39">
        <v>415.52400000000051</v>
      </c>
      <c r="G296" s="39">
        <v>562.87796816741275</v>
      </c>
    </row>
    <row r="297" spans="1:7" ht="11.25" customHeight="1" x14ac:dyDescent="0.2">
      <c r="A297" s="49">
        <v>44713</v>
      </c>
      <c r="B297" s="39">
        <v>232.33600000000013</v>
      </c>
      <c r="C297" s="39">
        <v>0</v>
      </c>
      <c r="D297" s="39">
        <v>314.72746607210155</v>
      </c>
      <c r="E297" s="39">
        <v>0</v>
      </c>
      <c r="F297" s="39">
        <v>232.33600000000013</v>
      </c>
      <c r="G297" s="39">
        <v>314.72746607210155</v>
      </c>
    </row>
    <row r="298" spans="1:7" ht="11.25" customHeight="1" x14ac:dyDescent="0.2">
      <c r="A298" s="49">
        <v>44743</v>
      </c>
      <c r="B298" s="39">
        <v>211.78319999999977</v>
      </c>
      <c r="C298" s="39">
        <v>0</v>
      </c>
      <c r="D298" s="39">
        <v>286.8861902272613</v>
      </c>
      <c r="E298" s="39">
        <v>0</v>
      </c>
      <c r="F298" s="39">
        <v>211.78319999999977</v>
      </c>
      <c r="G298" s="39">
        <v>286.8861902272613</v>
      </c>
    </row>
    <row r="299" spans="1:7" ht="11.25" customHeight="1" x14ac:dyDescent="0.2">
      <c r="A299" s="49">
        <v>44774</v>
      </c>
      <c r="B299" s="39">
        <v>203.74080000000009</v>
      </c>
      <c r="C299" s="39">
        <v>0</v>
      </c>
      <c r="D299" s="39">
        <v>275.99177794015054</v>
      </c>
      <c r="E299" s="39">
        <v>0</v>
      </c>
      <c r="F299" s="39">
        <v>203.74080000000009</v>
      </c>
      <c r="G299" s="39">
        <v>275.99177794015054</v>
      </c>
    </row>
    <row r="300" spans="1:7" ht="11.25" customHeight="1" x14ac:dyDescent="0.2">
      <c r="A300" s="48" t="s">
        <v>37</v>
      </c>
      <c r="B300" s="39">
        <v>0</v>
      </c>
      <c r="C300" s="39">
        <v>3726.6374700000015</v>
      </c>
      <c r="D300" s="39">
        <v>0</v>
      </c>
      <c r="E300" s="39">
        <v>4259.6986029269765</v>
      </c>
      <c r="F300" s="39">
        <v>3726.6374700000015</v>
      </c>
      <c r="G300" s="39">
        <v>4259.6986029269765</v>
      </c>
    </row>
    <row r="301" spans="1:7" ht="11.25" customHeight="1" x14ac:dyDescent="0.2">
      <c r="A301" s="49">
        <v>44440</v>
      </c>
      <c r="B301" s="39">
        <v>0</v>
      </c>
      <c r="C301" s="39">
        <v>374.55991800000004</v>
      </c>
      <c r="D301" s="39">
        <v>0</v>
      </c>
      <c r="E301" s="39">
        <v>428.13726107279297</v>
      </c>
      <c r="F301" s="39">
        <v>374.55991800000004</v>
      </c>
      <c r="G301" s="39">
        <v>428.13726107279297</v>
      </c>
    </row>
    <row r="302" spans="1:7" ht="11.25" customHeight="1" x14ac:dyDescent="0.2">
      <c r="A302" s="49">
        <v>44470</v>
      </c>
      <c r="B302" s="39">
        <v>0</v>
      </c>
      <c r="C302" s="39">
        <v>133.61390999999998</v>
      </c>
      <c r="D302" s="39">
        <v>0</v>
      </c>
      <c r="E302" s="39">
        <v>152.72614799276693</v>
      </c>
      <c r="F302" s="39">
        <v>133.61390999999998</v>
      </c>
      <c r="G302" s="39">
        <v>152.72614799276693</v>
      </c>
    </row>
    <row r="303" spans="1:7" ht="11.25" customHeight="1" x14ac:dyDescent="0.2">
      <c r="A303" s="49">
        <v>44501</v>
      </c>
      <c r="B303" s="39">
        <v>0</v>
      </c>
      <c r="C303" s="39">
        <v>124.17715199999985</v>
      </c>
      <c r="D303" s="39">
        <v>0</v>
      </c>
      <c r="E303" s="39">
        <v>141.93954876159444</v>
      </c>
      <c r="F303" s="39">
        <v>124.17715199999985</v>
      </c>
      <c r="G303" s="39">
        <v>141.93954876159444</v>
      </c>
    </row>
    <row r="304" spans="1:7" ht="11.25" customHeight="1" x14ac:dyDescent="0.2">
      <c r="A304" s="49">
        <v>44531</v>
      </c>
      <c r="B304" s="39">
        <v>0</v>
      </c>
      <c r="C304" s="39">
        <v>122.14869000000026</v>
      </c>
      <c r="D304" s="39">
        <v>0</v>
      </c>
      <c r="E304" s="39">
        <v>139.62093397358592</v>
      </c>
      <c r="F304" s="39">
        <v>122.14869000000026</v>
      </c>
      <c r="G304" s="39">
        <v>139.62093397358592</v>
      </c>
    </row>
    <row r="305" spans="1:7" ht="11.25" customHeight="1" x14ac:dyDescent="0.2">
      <c r="A305" s="49">
        <v>44562</v>
      </c>
      <c r="B305" s="39">
        <v>0</v>
      </c>
      <c r="C305" s="39">
        <v>109.62514200000047</v>
      </c>
      <c r="D305" s="39">
        <v>0</v>
      </c>
      <c r="E305" s="39">
        <v>125.30600789109579</v>
      </c>
      <c r="F305" s="39">
        <v>109.62514200000047</v>
      </c>
      <c r="G305" s="39">
        <v>125.30600789109579</v>
      </c>
    </row>
    <row r="306" spans="1:7" ht="11.25" customHeight="1" x14ac:dyDescent="0.2">
      <c r="A306" s="49">
        <v>44593</v>
      </c>
      <c r="B306" s="39">
        <v>0</v>
      </c>
      <c r="C306" s="39">
        <v>105.56821800000031</v>
      </c>
      <c r="D306" s="39">
        <v>0</v>
      </c>
      <c r="E306" s="39">
        <v>120.66877831507762</v>
      </c>
      <c r="F306" s="39">
        <v>105.56821800000031</v>
      </c>
      <c r="G306" s="39">
        <v>120.66877831507762</v>
      </c>
    </row>
    <row r="307" spans="1:7" ht="11.25" customHeight="1" x14ac:dyDescent="0.2">
      <c r="A307" s="49">
        <v>44621</v>
      </c>
      <c r="B307" s="39">
        <v>0</v>
      </c>
      <c r="C307" s="39">
        <v>132.02641800000035</v>
      </c>
      <c r="D307" s="39">
        <v>0</v>
      </c>
      <c r="E307" s="39">
        <v>150.91157989780379</v>
      </c>
      <c r="F307" s="39">
        <v>132.02641800000035</v>
      </c>
      <c r="G307" s="39">
        <v>150.91157989780379</v>
      </c>
    </row>
    <row r="308" spans="1:7" ht="11.25" customHeight="1" x14ac:dyDescent="0.2">
      <c r="A308" s="49">
        <v>44652</v>
      </c>
      <c r="B308" s="39">
        <v>0</v>
      </c>
      <c r="C308" s="39">
        <v>110.3306939999997</v>
      </c>
      <c r="D308" s="39">
        <v>0</v>
      </c>
      <c r="E308" s="39">
        <v>126.11248259996762</v>
      </c>
      <c r="F308" s="39">
        <v>110.3306939999997</v>
      </c>
      <c r="G308" s="39">
        <v>126.11248259996762</v>
      </c>
    </row>
    <row r="309" spans="1:7" ht="11.25" customHeight="1" x14ac:dyDescent="0.2">
      <c r="A309" s="49">
        <v>44682</v>
      </c>
      <c r="B309" s="39">
        <v>0</v>
      </c>
      <c r="C309" s="39">
        <v>596.01505199999974</v>
      </c>
      <c r="D309" s="39">
        <v>0</v>
      </c>
      <c r="E309" s="39">
        <v>681.26951032021043</v>
      </c>
      <c r="F309" s="39">
        <v>596.01505199999974</v>
      </c>
      <c r="G309" s="39">
        <v>681.26951032021043</v>
      </c>
    </row>
    <row r="310" spans="1:7" ht="11.25" customHeight="1" x14ac:dyDescent="0.2">
      <c r="A310" s="49">
        <v>44713</v>
      </c>
      <c r="B310" s="39">
        <v>0</v>
      </c>
      <c r="C310" s="39">
        <v>738.62475000000188</v>
      </c>
      <c r="D310" s="39">
        <v>0</v>
      </c>
      <c r="E310" s="39">
        <v>844.27821085110668</v>
      </c>
      <c r="F310" s="39">
        <v>738.62475000000188</v>
      </c>
      <c r="G310" s="39">
        <v>844.27821085110668</v>
      </c>
    </row>
    <row r="311" spans="1:7" ht="11.25" customHeight="1" x14ac:dyDescent="0.2">
      <c r="A311" s="49">
        <v>44743</v>
      </c>
      <c r="B311" s="39">
        <v>0</v>
      </c>
      <c r="C311" s="39">
        <v>536.13132599999915</v>
      </c>
      <c r="D311" s="39">
        <v>0</v>
      </c>
      <c r="E311" s="39">
        <v>612.81996940463944</v>
      </c>
      <c r="F311" s="39">
        <v>536.13132599999915</v>
      </c>
      <c r="G311" s="39">
        <v>612.81996940463944</v>
      </c>
    </row>
    <row r="312" spans="1:7" ht="11.25" customHeight="1" x14ac:dyDescent="0.2">
      <c r="A312" s="49">
        <v>44774</v>
      </c>
      <c r="B312" s="39">
        <v>0</v>
      </c>
      <c r="C312" s="39">
        <v>643.81619999999964</v>
      </c>
      <c r="D312" s="39">
        <v>0</v>
      </c>
      <c r="E312" s="39">
        <v>735.90817184633534</v>
      </c>
      <c r="F312" s="39">
        <v>643.81619999999964</v>
      </c>
      <c r="G312" s="39">
        <v>735.90817184633534</v>
      </c>
    </row>
    <row r="313" spans="1:7" ht="11.25" customHeight="1" x14ac:dyDescent="0.2">
      <c r="A313" s="42" t="s">
        <v>40</v>
      </c>
      <c r="B313" s="39">
        <v>0</v>
      </c>
      <c r="C313" s="39">
        <v>336314.24832000036</v>
      </c>
      <c r="D313" s="39">
        <v>0</v>
      </c>
      <c r="E313" s="39">
        <v>170159.33608540983</v>
      </c>
      <c r="F313" s="39">
        <v>336314.24832000042</v>
      </c>
      <c r="G313" s="39">
        <v>170159.33608540983</v>
      </c>
    </row>
    <row r="314" spans="1:7" ht="11.25" customHeight="1" x14ac:dyDescent="0.2">
      <c r="A314" s="43" t="s">
        <v>23</v>
      </c>
      <c r="B314" s="39">
        <v>0</v>
      </c>
      <c r="C314" s="39">
        <v>336314.24832000036</v>
      </c>
      <c r="D314" s="39">
        <v>0</v>
      </c>
      <c r="E314" s="39">
        <v>170159.33608540983</v>
      </c>
      <c r="F314" s="39">
        <v>336314.24832000042</v>
      </c>
      <c r="G314" s="39">
        <v>170159.33608540983</v>
      </c>
    </row>
    <row r="315" spans="1:7" ht="11.25" customHeight="1" x14ac:dyDescent="0.2">
      <c r="A315" s="44" t="s">
        <v>41</v>
      </c>
      <c r="B315" s="39">
        <v>0</v>
      </c>
      <c r="C315" s="39">
        <v>336314.24832000036</v>
      </c>
      <c r="D315" s="39">
        <v>0</v>
      </c>
      <c r="E315" s="39">
        <v>170159.33608540983</v>
      </c>
      <c r="F315" s="39">
        <v>336314.24832000042</v>
      </c>
      <c r="G315" s="39">
        <v>170159.33608540983</v>
      </c>
    </row>
    <row r="316" spans="1:7" ht="11.25" customHeight="1" x14ac:dyDescent="0.2">
      <c r="A316" s="45" t="s">
        <v>50</v>
      </c>
      <c r="B316" s="39">
        <v>0</v>
      </c>
      <c r="C316" s="39">
        <v>65958.934600000066</v>
      </c>
      <c r="D316" s="39">
        <v>0</v>
      </c>
      <c r="E316" s="39">
        <v>33372.146962259772</v>
      </c>
      <c r="F316" s="39">
        <v>65958.934600000066</v>
      </c>
      <c r="G316" s="39">
        <v>33372.146962259772</v>
      </c>
    </row>
    <row r="317" spans="1:7" ht="11.25" customHeight="1" x14ac:dyDescent="0.2">
      <c r="A317" s="46" t="s">
        <v>51</v>
      </c>
      <c r="B317" s="39">
        <v>0</v>
      </c>
      <c r="C317" s="39">
        <v>65958.934600000066</v>
      </c>
      <c r="D317" s="39">
        <v>0</v>
      </c>
      <c r="E317" s="39">
        <v>33372.146962259772</v>
      </c>
      <c r="F317" s="39">
        <v>65958.934600000066</v>
      </c>
      <c r="G317" s="39">
        <v>33372.146962259772</v>
      </c>
    </row>
    <row r="318" spans="1:7" ht="11.25" customHeight="1" x14ac:dyDescent="0.2">
      <c r="A318" s="47" t="s">
        <v>25</v>
      </c>
      <c r="B318" s="39">
        <v>0</v>
      </c>
      <c r="C318" s="39">
        <v>65958.934600000066</v>
      </c>
      <c r="D318" s="39">
        <v>0</v>
      </c>
      <c r="E318" s="39">
        <v>33372.146962259772</v>
      </c>
      <c r="F318" s="39">
        <v>65958.934600000066</v>
      </c>
      <c r="G318" s="39">
        <v>33372.146962259772</v>
      </c>
    </row>
    <row r="319" spans="1:7" ht="11.25" customHeight="1" x14ac:dyDescent="0.2">
      <c r="A319" s="48" t="s">
        <v>25</v>
      </c>
      <c r="B319" s="39">
        <v>0</v>
      </c>
      <c r="C319" s="39">
        <v>65958.934600000066</v>
      </c>
      <c r="D319" s="39">
        <v>0</v>
      </c>
      <c r="E319" s="39">
        <v>33372.146962259772</v>
      </c>
      <c r="F319" s="39">
        <v>65958.934600000066</v>
      </c>
      <c r="G319" s="39">
        <v>33372.146962259772</v>
      </c>
    </row>
    <row r="320" spans="1:7" ht="11.25" customHeight="1" x14ac:dyDescent="0.2">
      <c r="A320" s="49">
        <v>44440</v>
      </c>
      <c r="B320" s="39">
        <v>0</v>
      </c>
      <c r="C320" s="39">
        <v>8734.9753600000095</v>
      </c>
      <c r="D320" s="39">
        <v>0</v>
      </c>
      <c r="E320" s="39">
        <v>4419.4904480103278</v>
      </c>
      <c r="F320" s="39">
        <v>8734.9753600000095</v>
      </c>
      <c r="G320" s="39">
        <v>4419.4904480103278</v>
      </c>
    </row>
    <row r="321" spans="1:7" ht="11.25" customHeight="1" x14ac:dyDescent="0.2">
      <c r="A321" s="49">
        <v>44470</v>
      </c>
      <c r="B321" s="39">
        <v>0</v>
      </c>
      <c r="C321" s="39">
        <v>11116.818360000012</v>
      </c>
      <c r="D321" s="39">
        <v>0</v>
      </c>
      <c r="E321" s="39">
        <v>5624.5920027742168</v>
      </c>
      <c r="F321" s="39">
        <v>11116.818360000012</v>
      </c>
      <c r="G321" s="39">
        <v>5624.5920027742168</v>
      </c>
    </row>
    <row r="322" spans="1:7" ht="11.25" customHeight="1" x14ac:dyDescent="0.2">
      <c r="A322" s="49">
        <v>44501</v>
      </c>
      <c r="B322" s="39">
        <v>0</v>
      </c>
      <c r="C322" s="39">
        <v>2766.6756000000032</v>
      </c>
      <c r="D322" s="39">
        <v>0</v>
      </c>
      <c r="E322" s="39">
        <v>1399.8089156536835</v>
      </c>
      <c r="F322" s="39">
        <v>2766.6756000000032</v>
      </c>
      <c r="G322" s="39">
        <v>1399.8089156536835</v>
      </c>
    </row>
    <row r="323" spans="1:7" ht="11.25" customHeight="1" x14ac:dyDescent="0.2">
      <c r="A323" s="49">
        <v>44531</v>
      </c>
      <c r="B323" s="39">
        <v>0</v>
      </c>
      <c r="C323" s="39">
        <v>2233.8598000000025</v>
      </c>
      <c r="D323" s="39">
        <v>0</v>
      </c>
      <c r="E323" s="39">
        <v>1130.2289521620655</v>
      </c>
      <c r="F323" s="39">
        <v>2233.8598000000025</v>
      </c>
      <c r="G323" s="39">
        <v>1130.2289521620655</v>
      </c>
    </row>
    <row r="324" spans="1:7" ht="11.25" customHeight="1" x14ac:dyDescent="0.2">
      <c r="A324" s="49">
        <v>44562</v>
      </c>
      <c r="B324" s="39">
        <v>0</v>
      </c>
      <c r="C324" s="39">
        <v>975.77376000000106</v>
      </c>
      <c r="D324" s="39">
        <v>0</v>
      </c>
      <c r="E324" s="39">
        <v>493.69604767140663</v>
      </c>
      <c r="F324" s="39">
        <v>975.77376000000106</v>
      </c>
      <c r="G324" s="39">
        <v>493.69604767140663</v>
      </c>
    </row>
    <row r="325" spans="1:7" ht="11.25" customHeight="1" x14ac:dyDescent="0.2">
      <c r="A325" s="49">
        <v>44593</v>
      </c>
      <c r="B325" s="39">
        <v>0</v>
      </c>
      <c r="C325" s="39">
        <v>548.07180000000062</v>
      </c>
      <c r="D325" s="39">
        <v>0</v>
      </c>
      <c r="E325" s="39">
        <v>277.29878850211509</v>
      </c>
      <c r="F325" s="39">
        <v>548.07180000000062</v>
      </c>
      <c r="G325" s="39">
        <v>277.29878850211509</v>
      </c>
    </row>
    <row r="326" spans="1:7" ht="11.25" customHeight="1" x14ac:dyDescent="0.2">
      <c r="A326" s="49">
        <v>44621</v>
      </c>
      <c r="B326" s="39">
        <v>0</v>
      </c>
      <c r="C326" s="39">
        <v>1689.7545600000019</v>
      </c>
      <c r="D326" s="39">
        <v>0</v>
      </c>
      <c r="E326" s="39">
        <v>854.93705816267982</v>
      </c>
      <c r="F326" s="39">
        <v>1689.7545600000019</v>
      </c>
      <c r="G326" s="39">
        <v>854.93705816267982</v>
      </c>
    </row>
    <row r="327" spans="1:7" ht="11.25" customHeight="1" x14ac:dyDescent="0.2">
      <c r="A327" s="49">
        <v>44652</v>
      </c>
      <c r="B327" s="39">
        <v>0</v>
      </c>
      <c r="C327" s="39">
        <v>2417.9234400000028</v>
      </c>
      <c r="D327" s="39">
        <v>0</v>
      </c>
      <c r="E327" s="39">
        <v>1223.3565759137155</v>
      </c>
      <c r="F327" s="39">
        <v>2417.9234400000028</v>
      </c>
      <c r="G327" s="39">
        <v>1223.3565759137155</v>
      </c>
    </row>
    <row r="328" spans="1:7" ht="11.25" customHeight="1" x14ac:dyDescent="0.2">
      <c r="A328" s="49">
        <v>44682</v>
      </c>
      <c r="B328" s="39">
        <v>0</v>
      </c>
      <c r="C328" s="39">
        <v>7357.2822800000076</v>
      </c>
      <c r="D328" s="39">
        <v>0</v>
      </c>
      <c r="E328" s="39">
        <v>3722.4419554373699</v>
      </c>
      <c r="F328" s="39">
        <v>7357.2822800000076</v>
      </c>
      <c r="G328" s="39">
        <v>3722.4419554373699</v>
      </c>
    </row>
    <row r="329" spans="1:7" ht="11.25" customHeight="1" x14ac:dyDescent="0.2">
      <c r="A329" s="49">
        <v>44713</v>
      </c>
      <c r="B329" s="39">
        <v>0</v>
      </c>
      <c r="C329" s="39">
        <v>8193.6162000000095</v>
      </c>
      <c r="D329" s="39">
        <v>0</v>
      </c>
      <c r="E329" s="39">
        <v>4145.5879425128323</v>
      </c>
      <c r="F329" s="39">
        <v>8193.6162000000095</v>
      </c>
      <c r="G329" s="39">
        <v>4145.5879425128323</v>
      </c>
    </row>
    <row r="330" spans="1:7" ht="11.25" customHeight="1" x14ac:dyDescent="0.2">
      <c r="A330" s="49">
        <v>44743</v>
      </c>
      <c r="B330" s="39">
        <v>0</v>
      </c>
      <c r="C330" s="39">
        <v>7998.6445200000089</v>
      </c>
      <c r="D330" s="39">
        <v>0</v>
      </c>
      <c r="E330" s="39">
        <v>4046.9413588786761</v>
      </c>
      <c r="F330" s="39">
        <v>7998.6445200000089</v>
      </c>
      <c r="G330" s="39">
        <v>4046.9413588786761</v>
      </c>
    </row>
    <row r="331" spans="1:7" ht="11.25" customHeight="1" x14ac:dyDescent="0.2">
      <c r="A331" s="49">
        <v>44774</v>
      </c>
      <c r="B331" s="39">
        <v>0</v>
      </c>
      <c r="C331" s="39">
        <v>11925.538920000014</v>
      </c>
      <c r="D331" s="39">
        <v>0</v>
      </c>
      <c r="E331" s="39">
        <v>6033.7669165806783</v>
      </c>
      <c r="F331" s="39">
        <v>11925.538920000014</v>
      </c>
      <c r="G331" s="39">
        <v>6033.7669165806783</v>
      </c>
    </row>
    <row r="332" spans="1:7" ht="11.25" customHeight="1" x14ac:dyDescent="0.2">
      <c r="A332" s="45" t="s">
        <v>53</v>
      </c>
      <c r="B332" s="39">
        <v>0</v>
      </c>
      <c r="C332" s="39">
        <v>317.70620000000031</v>
      </c>
      <c r="D332" s="39">
        <v>0</v>
      </c>
      <c r="E332" s="39">
        <v>160.74453084360604</v>
      </c>
      <c r="F332" s="39">
        <v>317.70620000000031</v>
      </c>
      <c r="G332" s="39">
        <v>160.74453084360604</v>
      </c>
    </row>
    <row r="333" spans="1:7" ht="11.25" customHeight="1" x14ac:dyDescent="0.2">
      <c r="A333" s="46" t="s">
        <v>51</v>
      </c>
      <c r="B333" s="39">
        <v>0</v>
      </c>
      <c r="C333" s="39">
        <v>317.70620000000031</v>
      </c>
      <c r="D333" s="39">
        <v>0</v>
      </c>
      <c r="E333" s="39">
        <v>160.74453084360604</v>
      </c>
      <c r="F333" s="39">
        <v>317.70620000000031</v>
      </c>
      <c r="G333" s="39">
        <v>160.74453084360604</v>
      </c>
    </row>
    <row r="334" spans="1:7" ht="11.25" customHeight="1" x14ac:dyDescent="0.2">
      <c r="A334" s="47" t="s">
        <v>25</v>
      </c>
      <c r="B334" s="39">
        <v>0</v>
      </c>
      <c r="C334" s="39">
        <v>317.70620000000031</v>
      </c>
      <c r="D334" s="39">
        <v>0</v>
      </c>
      <c r="E334" s="39">
        <v>160.74453084360604</v>
      </c>
      <c r="F334" s="39">
        <v>317.70620000000031</v>
      </c>
      <c r="G334" s="39">
        <v>160.74453084360604</v>
      </c>
    </row>
    <row r="335" spans="1:7" ht="11.25" customHeight="1" x14ac:dyDescent="0.2">
      <c r="A335" s="48" t="s">
        <v>25</v>
      </c>
      <c r="B335" s="39">
        <v>0</v>
      </c>
      <c r="C335" s="39">
        <v>317.70620000000031</v>
      </c>
      <c r="D335" s="39">
        <v>0</v>
      </c>
      <c r="E335" s="39">
        <v>160.74453084360604</v>
      </c>
      <c r="F335" s="39">
        <v>317.70620000000031</v>
      </c>
      <c r="G335" s="39">
        <v>160.74453084360604</v>
      </c>
    </row>
    <row r="336" spans="1:7" ht="11.25" customHeight="1" x14ac:dyDescent="0.2">
      <c r="A336" s="49">
        <v>44713</v>
      </c>
      <c r="B336" s="39">
        <v>0</v>
      </c>
      <c r="C336" s="39">
        <v>127.08248000000013</v>
      </c>
      <c r="D336" s="39">
        <v>0</v>
      </c>
      <c r="E336" s="39">
        <v>64.297812337442423</v>
      </c>
      <c r="F336" s="39">
        <v>127.08248000000013</v>
      </c>
      <c r="G336" s="39">
        <v>64.297812337442423</v>
      </c>
    </row>
    <row r="337" spans="1:7" ht="11.25" customHeight="1" x14ac:dyDescent="0.2">
      <c r="A337" s="49">
        <v>44743</v>
      </c>
      <c r="B337" s="39">
        <v>0</v>
      </c>
      <c r="C337" s="39">
        <v>124.18384000000013</v>
      </c>
      <c r="D337" s="39">
        <v>0</v>
      </c>
      <c r="E337" s="39">
        <v>62.831235585447935</v>
      </c>
      <c r="F337" s="39">
        <v>124.18384000000013</v>
      </c>
      <c r="G337" s="39">
        <v>62.831235585447935</v>
      </c>
    </row>
    <row r="338" spans="1:7" ht="11.25" customHeight="1" x14ac:dyDescent="0.2">
      <c r="A338" s="49">
        <v>44774</v>
      </c>
      <c r="B338" s="39">
        <v>0</v>
      </c>
      <c r="C338" s="39">
        <v>66.439880000000073</v>
      </c>
      <c r="D338" s="39">
        <v>0</v>
      </c>
      <c r="E338" s="39">
        <v>33.615482920715692</v>
      </c>
      <c r="F338" s="39">
        <v>66.439880000000073</v>
      </c>
      <c r="G338" s="39">
        <v>33.615482920715692</v>
      </c>
    </row>
    <row r="339" spans="1:7" ht="11.25" customHeight="1" x14ac:dyDescent="0.2">
      <c r="A339" s="45" t="s">
        <v>25</v>
      </c>
      <c r="B339" s="39">
        <v>0</v>
      </c>
      <c r="C339" s="39">
        <v>270037.60752000031</v>
      </c>
      <c r="D339" s="39">
        <v>0</v>
      </c>
      <c r="E339" s="39">
        <v>136626.44459230645</v>
      </c>
      <c r="F339" s="39">
        <v>270037.60752000031</v>
      </c>
      <c r="G339" s="39">
        <v>136626.44459230645</v>
      </c>
    </row>
    <row r="340" spans="1:7" ht="11.25" customHeight="1" x14ac:dyDescent="0.2">
      <c r="A340" s="46" t="s">
        <v>25</v>
      </c>
      <c r="B340" s="39">
        <v>0</v>
      </c>
      <c r="C340" s="39">
        <v>270037.60752000031</v>
      </c>
      <c r="D340" s="39">
        <v>0</v>
      </c>
      <c r="E340" s="39">
        <v>136626.44459230645</v>
      </c>
      <c r="F340" s="39">
        <v>270037.60752000031</v>
      </c>
      <c r="G340" s="39">
        <v>136626.44459230645</v>
      </c>
    </row>
    <row r="341" spans="1:7" ht="11.25" customHeight="1" x14ac:dyDescent="0.2">
      <c r="A341" s="47" t="s">
        <v>25</v>
      </c>
      <c r="B341" s="39">
        <v>0</v>
      </c>
      <c r="C341" s="39">
        <v>270037.60752000031</v>
      </c>
      <c r="D341" s="39">
        <v>0</v>
      </c>
      <c r="E341" s="39">
        <v>136626.44459230645</v>
      </c>
      <c r="F341" s="39">
        <v>270037.60752000031</v>
      </c>
      <c r="G341" s="39">
        <v>136626.44459230645</v>
      </c>
    </row>
    <row r="342" spans="1:7" ht="11.25" customHeight="1" x14ac:dyDescent="0.2">
      <c r="A342" s="48" t="s">
        <v>25</v>
      </c>
      <c r="B342" s="39">
        <v>0</v>
      </c>
      <c r="C342" s="39">
        <v>270037.60752000031</v>
      </c>
      <c r="D342" s="39">
        <v>0</v>
      </c>
      <c r="E342" s="39">
        <v>136626.44459230645</v>
      </c>
      <c r="F342" s="39">
        <v>270037.60752000031</v>
      </c>
      <c r="G342" s="39">
        <v>136626.44459230645</v>
      </c>
    </row>
    <row r="343" spans="1:7" ht="11.25" customHeight="1" x14ac:dyDescent="0.2">
      <c r="A343" s="49">
        <v>44440</v>
      </c>
      <c r="B343" s="39">
        <v>0</v>
      </c>
      <c r="C343" s="39">
        <v>30542.817120000036</v>
      </c>
      <c r="D343" s="39">
        <v>0</v>
      </c>
      <c r="E343" s="39">
        <v>15453.242047515783</v>
      </c>
      <c r="F343" s="39">
        <v>30542.817120000036</v>
      </c>
      <c r="G343" s="39">
        <v>15453.242047515783</v>
      </c>
    </row>
    <row r="344" spans="1:7" ht="11.25" customHeight="1" x14ac:dyDescent="0.2">
      <c r="A344" s="49">
        <v>44470</v>
      </c>
      <c r="B344" s="39">
        <v>0</v>
      </c>
      <c r="C344" s="39">
        <v>30853.581840000032</v>
      </c>
      <c r="D344" s="39">
        <v>0</v>
      </c>
      <c r="E344" s="39">
        <v>15610.474512979612</v>
      </c>
      <c r="F344" s="39">
        <v>30853.581840000032</v>
      </c>
      <c r="G344" s="39">
        <v>15610.474512979612</v>
      </c>
    </row>
    <row r="345" spans="1:7" ht="11.25" customHeight="1" x14ac:dyDescent="0.2">
      <c r="A345" s="49">
        <v>44501</v>
      </c>
      <c r="B345" s="39">
        <v>0</v>
      </c>
      <c r="C345" s="39">
        <v>23025.957080000026</v>
      </c>
      <c r="D345" s="39">
        <v>0</v>
      </c>
      <c r="E345" s="39">
        <v>11650.061182468611</v>
      </c>
      <c r="F345" s="39">
        <v>23025.957080000026</v>
      </c>
      <c r="G345" s="39">
        <v>11650.061182468611</v>
      </c>
    </row>
    <row r="346" spans="1:7" ht="11.25" customHeight="1" x14ac:dyDescent="0.2">
      <c r="A346" s="49">
        <v>44531</v>
      </c>
      <c r="B346" s="39">
        <v>0</v>
      </c>
      <c r="C346" s="39">
        <v>22235.238600000022</v>
      </c>
      <c r="D346" s="39">
        <v>0</v>
      </c>
      <c r="E346" s="39">
        <v>11249.994482174538</v>
      </c>
      <c r="F346" s="39">
        <v>22235.238600000022</v>
      </c>
      <c r="G346" s="39">
        <v>11249.994482174538</v>
      </c>
    </row>
    <row r="347" spans="1:7" ht="11.25" customHeight="1" x14ac:dyDescent="0.2">
      <c r="A347" s="49">
        <v>44562</v>
      </c>
      <c r="B347" s="39">
        <v>0</v>
      </c>
      <c r="C347" s="39">
        <v>21270.296600000027</v>
      </c>
      <c r="D347" s="39">
        <v>0</v>
      </c>
      <c r="E347" s="39">
        <v>10761.778800260583</v>
      </c>
      <c r="F347" s="39">
        <v>21270.296600000027</v>
      </c>
      <c r="G347" s="39">
        <v>10761.778800260583</v>
      </c>
    </row>
    <row r="348" spans="1:7" ht="11.25" customHeight="1" x14ac:dyDescent="0.2">
      <c r="A348" s="49">
        <v>44593</v>
      </c>
      <c r="B348" s="39">
        <v>0</v>
      </c>
      <c r="C348" s="39">
        <v>21975.505200000029</v>
      </c>
      <c r="D348" s="39">
        <v>0</v>
      </c>
      <c r="E348" s="39">
        <v>11118.58148637082</v>
      </c>
      <c r="F348" s="39">
        <v>21975.505200000029</v>
      </c>
      <c r="G348" s="39">
        <v>11118.58148637082</v>
      </c>
    </row>
    <row r="349" spans="1:7" ht="11.25" customHeight="1" x14ac:dyDescent="0.2">
      <c r="A349" s="49">
        <v>44621</v>
      </c>
      <c r="B349" s="39">
        <v>0</v>
      </c>
      <c r="C349" s="39">
        <v>21490.516960000026</v>
      </c>
      <c r="D349" s="39">
        <v>0</v>
      </c>
      <c r="E349" s="39">
        <v>10873.200039287112</v>
      </c>
      <c r="F349" s="39">
        <v>21490.516960000026</v>
      </c>
      <c r="G349" s="39">
        <v>10873.200039287112</v>
      </c>
    </row>
    <row r="350" spans="1:7" ht="11.25" customHeight="1" x14ac:dyDescent="0.2">
      <c r="A350" s="49">
        <v>44652</v>
      </c>
      <c r="B350" s="39">
        <v>0</v>
      </c>
      <c r="C350" s="39">
        <v>20400.094360000025</v>
      </c>
      <c r="D350" s="39">
        <v>0</v>
      </c>
      <c r="E350" s="39">
        <v>10321.497021661819</v>
      </c>
      <c r="F350" s="39">
        <v>20400.094360000025</v>
      </c>
      <c r="G350" s="39">
        <v>10321.497021661819</v>
      </c>
    </row>
    <row r="351" spans="1:7" ht="11.25" customHeight="1" x14ac:dyDescent="0.2">
      <c r="A351" s="49">
        <v>44682</v>
      </c>
      <c r="B351" s="39">
        <v>0</v>
      </c>
      <c r="C351" s="39">
        <v>22786.132760000026</v>
      </c>
      <c r="D351" s="39">
        <v>0</v>
      </c>
      <c r="E351" s="39">
        <v>11528.721253303594</v>
      </c>
      <c r="F351" s="39">
        <v>22786.132760000026</v>
      </c>
      <c r="G351" s="39">
        <v>11528.721253303594</v>
      </c>
    </row>
    <row r="352" spans="1:7" ht="11.25" customHeight="1" x14ac:dyDescent="0.2">
      <c r="A352" s="49">
        <v>44713</v>
      </c>
      <c r="B352" s="39">
        <v>0</v>
      </c>
      <c r="C352" s="39">
        <v>19999.166680000024</v>
      </c>
      <c r="D352" s="39">
        <v>0</v>
      </c>
      <c r="E352" s="39">
        <v>10118.64630038595</v>
      </c>
      <c r="F352" s="39">
        <v>19999.166680000024</v>
      </c>
      <c r="G352" s="39">
        <v>10118.64630038595</v>
      </c>
    </row>
    <row r="353" spans="1:7" ht="11.25" customHeight="1" x14ac:dyDescent="0.2">
      <c r="A353" s="49">
        <v>44743</v>
      </c>
      <c r="B353" s="39">
        <v>0</v>
      </c>
      <c r="C353" s="39">
        <v>17535.780360000019</v>
      </c>
      <c r="D353" s="39">
        <v>0</v>
      </c>
      <c r="E353" s="39">
        <v>8872.2876259409531</v>
      </c>
      <c r="F353" s="39">
        <v>17535.780360000019</v>
      </c>
      <c r="G353" s="39">
        <v>8872.2876259409531</v>
      </c>
    </row>
    <row r="354" spans="1:7" ht="11.25" customHeight="1" x14ac:dyDescent="0.2">
      <c r="A354" s="49">
        <v>44774</v>
      </c>
      <c r="B354" s="39">
        <v>0</v>
      </c>
      <c r="C354" s="39">
        <v>17922.519960000023</v>
      </c>
      <c r="D354" s="39">
        <v>0</v>
      </c>
      <c r="E354" s="39">
        <v>9067.9598399570586</v>
      </c>
      <c r="F354" s="39">
        <v>17922.519960000023</v>
      </c>
      <c r="G354" s="39">
        <v>9067.9598399570586</v>
      </c>
    </row>
    <row r="355" spans="1:7" ht="11.25" customHeight="1" x14ac:dyDescent="0.2">
      <c r="A355" s="41" t="s">
        <v>619</v>
      </c>
      <c r="B355" s="39">
        <v>0</v>
      </c>
      <c r="C355" s="39">
        <v>0</v>
      </c>
      <c r="D355" s="39">
        <v>0</v>
      </c>
      <c r="E355" s="39">
        <v>0</v>
      </c>
      <c r="F355" s="39">
        <v>0</v>
      </c>
      <c r="G355" s="39">
        <v>0</v>
      </c>
    </row>
    <row r="356" spans="1:7" ht="11.25" customHeight="1" x14ac:dyDescent="0.2">
      <c r="A356" s="42" t="s">
        <v>22</v>
      </c>
      <c r="B356" s="39">
        <v>0</v>
      </c>
      <c r="C356" s="39">
        <v>0</v>
      </c>
      <c r="D356" s="39">
        <v>0</v>
      </c>
      <c r="E356" s="39">
        <v>0</v>
      </c>
      <c r="F356" s="39">
        <v>0</v>
      </c>
      <c r="G356" s="39">
        <v>0</v>
      </c>
    </row>
    <row r="357" spans="1:7" ht="11.25" customHeight="1" x14ac:dyDescent="0.2">
      <c r="A357" s="43" t="s">
        <v>23</v>
      </c>
      <c r="B357" s="39">
        <v>0</v>
      </c>
      <c r="C357" s="39">
        <v>0</v>
      </c>
      <c r="D357" s="39">
        <v>0</v>
      </c>
      <c r="E357" s="39">
        <v>0</v>
      </c>
      <c r="F357" s="39">
        <v>0</v>
      </c>
      <c r="G357" s="39">
        <v>0</v>
      </c>
    </row>
    <row r="358" spans="1:7" ht="11.25" customHeight="1" x14ac:dyDescent="0.2">
      <c r="A358" s="44" t="s">
        <v>24</v>
      </c>
      <c r="B358" s="39">
        <v>0</v>
      </c>
      <c r="C358" s="39">
        <v>0</v>
      </c>
      <c r="D358" s="39">
        <v>0</v>
      </c>
      <c r="E358" s="39">
        <v>0</v>
      </c>
      <c r="F358" s="39">
        <v>0</v>
      </c>
      <c r="G358" s="39">
        <v>0</v>
      </c>
    </row>
    <row r="359" spans="1:7" ht="11.25" customHeight="1" x14ac:dyDescent="0.2">
      <c r="A359" s="45" t="s">
        <v>24</v>
      </c>
      <c r="B359" s="39">
        <v>0</v>
      </c>
      <c r="C359" s="39">
        <v>0</v>
      </c>
      <c r="D359" s="39">
        <v>0</v>
      </c>
      <c r="E359" s="39">
        <v>0</v>
      </c>
      <c r="F359" s="39">
        <v>0</v>
      </c>
      <c r="G359" s="39">
        <v>0</v>
      </c>
    </row>
    <row r="360" spans="1:7" ht="11.25" customHeight="1" x14ac:dyDescent="0.2">
      <c r="A360" s="46" t="s">
        <v>25</v>
      </c>
      <c r="B360" s="39">
        <v>0</v>
      </c>
      <c r="C360" s="39">
        <v>0</v>
      </c>
      <c r="D360" s="39">
        <v>0</v>
      </c>
      <c r="E360" s="39">
        <v>0</v>
      </c>
      <c r="F360" s="39">
        <v>0</v>
      </c>
      <c r="G360" s="39">
        <v>0</v>
      </c>
    </row>
    <row r="361" spans="1:7" ht="11.25" customHeight="1" x14ac:dyDescent="0.2">
      <c r="A361" s="47" t="s">
        <v>25</v>
      </c>
      <c r="B361" s="39">
        <v>0</v>
      </c>
      <c r="C361" s="39">
        <v>0</v>
      </c>
      <c r="D361" s="39">
        <v>0</v>
      </c>
      <c r="E361" s="39">
        <v>0</v>
      </c>
      <c r="F361" s="39">
        <v>0</v>
      </c>
      <c r="G361" s="39">
        <v>0</v>
      </c>
    </row>
    <row r="362" spans="1:7" ht="11.25" customHeight="1" x14ac:dyDescent="0.2">
      <c r="A362" s="48" t="s">
        <v>25</v>
      </c>
      <c r="B362" s="39">
        <v>0</v>
      </c>
      <c r="C362" s="39">
        <v>0</v>
      </c>
      <c r="D362" s="39">
        <v>0</v>
      </c>
      <c r="E362" s="39">
        <v>0</v>
      </c>
      <c r="F362" s="39">
        <v>0</v>
      </c>
      <c r="G362" s="39">
        <v>0</v>
      </c>
    </row>
    <row r="363" spans="1:7" ht="11.25" customHeight="1" x14ac:dyDescent="0.2">
      <c r="A363" s="49">
        <v>44440</v>
      </c>
      <c r="B363" s="39">
        <v>0</v>
      </c>
      <c r="C363" s="39">
        <v>0</v>
      </c>
      <c r="D363" s="39">
        <v>0</v>
      </c>
      <c r="E363" s="39">
        <v>0</v>
      </c>
      <c r="F363" s="39">
        <v>0</v>
      </c>
      <c r="G363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AA23-B63F-457D-B867-E38E94D36B88}">
  <dimension ref="A1:V35"/>
  <sheetViews>
    <sheetView showGridLines="0" topLeftCell="F19" workbookViewId="0">
      <selection activeCell="N40" sqref="N40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95" t="s">
        <v>689</v>
      </c>
      <c r="B1" s="115"/>
      <c r="C1" s="115"/>
      <c r="D1" s="115"/>
      <c r="E1" s="115"/>
      <c r="F1" s="115"/>
      <c r="G1" s="115"/>
      <c r="H1" s="115"/>
      <c r="I1" s="115"/>
      <c r="J1" s="115"/>
      <c r="L1" s="95" t="s">
        <v>699</v>
      </c>
      <c r="M1" s="96"/>
      <c r="N1" s="96"/>
      <c r="O1" s="96"/>
      <c r="P1" s="96"/>
      <c r="Q1" s="96"/>
      <c r="R1" s="96"/>
      <c r="S1" s="96"/>
      <c r="T1" s="96"/>
      <c r="U1" s="96"/>
      <c r="V1" s="96"/>
    </row>
    <row r="2" spans="1:22" ht="11.25" customHeight="1" x14ac:dyDescent="0.25">
      <c r="A2" s="111" t="s">
        <v>63</v>
      </c>
      <c r="B2" s="111" t="s">
        <v>64</v>
      </c>
      <c r="C2" s="111" t="s">
        <v>690</v>
      </c>
      <c r="D2" s="111" t="s">
        <v>69</v>
      </c>
      <c r="E2" s="111" t="s">
        <v>691</v>
      </c>
      <c r="F2" s="114"/>
      <c r="G2" s="114"/>
      <c r="H2" s="111" t="s">
        <v>453</v>
      </c>
      <c r="I2" s="114"/>
      <c r="J2" s="114"/>
      <c r="L2" s="111" t="s">
        <v>63</v>
      </c>
      <c r="M2" s="111" t="s">
        <v>64</v>
      </c>
      <c r="N2" s="111" t="s">
        <v>65</v>
      </c>
      <c r="O2" s="111" t="s">
        <v>66</v>
      </c>
      <c r="P2" s="111" t="s">
        <v>69</v>
      </c>
      <c r="Q2" s="111" t="s">
        <v>691</v>
      </c>
      <c r="R2" s="116"/>
      <c r="S2" s="116"/>
      <c r="T2" s="111" t="s">
        <v>453</v>
      </c>
      <c r="U2" s="116"/>
      <c r="V2" s="116"/>
    </row>
    <row r="3" spans="1:22" ht="11.25" customHeight="1" x14ac:dyDescent="0.25">
      <c r="A3" s="114"/>
      <c r="B3" s="114"/>
      <c r="C3" s="114"/>
      <c r="D3" s="114"/>
      <c r="E3" s="111" t="s">
        <v>411</v>
      </c>
      <c r="F3" s="114"/>
      <c r="G3" s="30" t="s">
        <v>439</v>
      </c>
      <c r="H3" s="111" t="s">
        <v>411</v>
      </c>
      <c r="I3" s="114"/>
      <c r="J3" s="30" t="s">
        <v>439</v>
      </c>
      <c r="L3" s="116"/>
      <c r="M3" s="116"/>
      <c r="N3" s="116"/>
      <c r="O3" s="116"/>
      <c r="P3" s="116"/>
      <c r="Q3" s="111" t="s">
        <v>411</v>
      </c>
      <c r="R3" s="116"/>
      <c r="S3" s="30" t="s">
        <v>439</v>
      </c>
      <c r="T3" s="111" t="s">
        <v>411</v>
      </c>
      <c r="U3" s="116"/>
      <c r="V3" s="30" t="s">
        <v>439</v>
      </c>
    </row>
    <row r="4" spans="1:22" ht="11.25" customHeight="1" x14ac:dyDescent="0.25">
      <c r="A4" s="114"/>
      <c r="B4" s="114"/>
      <c r="C4" s="114"/>
      <c r="D4" s="114"/>
      <c r="E4" s="30" t="s">
        <v>692</v>
      </c>
      <c r="F4" s="30" t="s">
        <v>693</v>
      </c>
      <c r="G4" s="30" t="s">
        <v>693</v>
      </c>
      <c r="H4" s="30" t="s">
        <v>692</v>
      </c>
      <c r="I4" s="30" t="s">
        <v>693</v>
      </c>
      <c r="J4" s="30" t="s">
        <v>693</v>
      </c>
      <c r="L4" s="116"/>
      <c r="M4" s="116"/>
      <c r="N4" s="116"/>
      <c r="O4" s="116"/>
      <c r="P4" s="116"/>
      <c r="Q4" s="30" t="s">
        <v>692</v>
      </c>
      <c r="R4" s="30" t="s">
        <v>693</v>
      </c>
      <c r="S4" s="30" t="s">
        <v>693</v>
      </c>
      <c r="T4" s="30" t="s">
        <v>692</v>
      </c>
      <c r="U4" s="30" t="s">
        <v>693</v>
      </c>
      <c r="V4" s="30" t="s">
        <v>693</v>
      </c>
    </row>
    <row r="5" spans="1:22" ht="11.25" customHeight="1" x14ac:dyDescent="0.25">
      <c r="A5" s="113" t="s">
        <v>35</v>
      </c>
      <c r="B5" s="113" t="s">
        <v>54</v>
      </c>
      <c r="C5" s="113" t="s">
        <v>25</v>
      </c>
      <c r="D5" s="31" t="s">
        <v>694</v>
      </c>
      <c r="E5" s="29">
        <f ca="1">ROUND('TUSD BE'!$AM$5+'TUSD BF'!$AM$5+'TUSD CVA'!$AM$5,2)</f>
        <v>87.61</v>
      </c>
      <c r="F5" s="29">
        <f ca="1">ROUND('TUSD BE'!$AM$7+'TUSD BF'!$AM$7+'TUSD CVA'!$AM$7,2)</f>
        <v>100.15</v>
      </c>
      <c r="G5" s="29">
        <f>ROUND('TE BE'!$AB$5+'TE BF'!$AB$5+'TE CVA'!$AB$5,2)</f>
        <v>185.42</v>
      </c>
      <c r="H5" s="29">
        <f ca="1">ROUND('TUSD BE'!$AM$5,2)</f>
        <v>114.54</v>
      </c>
      <c r="I5" s="29">
        <f ca="1">ROUND('TUSD BE'!$AM$7,2)</f>
        <v>96.36</v>
      </c>
      <c r="J5" s="29">
        <f>ROUND('TE BE'!$AB$5,2)</f>
        <v>197.29</v>
      </c>
      <c r="L5" s="117" t="s">
        <v>22</v>
      </c>
      <c r="M5" s="117" t="s">
        <v>700</v>
      </c>
      <c r="N5" s="117" t="s">
        <v>701</v>
      </c>
      <c r="O5" s="117" t="s">
        <v>701</v>
      </c>
      <c r="P5" s="31" t="s">
        <v>694</v>
      </c>
      <c r="Q5" s="29">
        <v>0</v>
      </c>
      <c r="R5" s="29">
        <f ca="1">ROUND('TUSD BE'!$AM$17+'TUSD BF'!$AM$17+'TUSD CVA'!$AM$17,2)</f>
        <v>1031.74</v>
      </c>
      <c r="S5" s="29">
        <f>ROUND('TE BE'!$AB$7+'TE BF'!$AB$7+'TE CVA'!$AB$7,2)</f>
        <v>185.42</v>
      </c>
      <c r="T5" s="29">
        <v>0</v>
      </c>
      <c r="U5" s="29">
        <f ca="1">ROUND('TUSD BE'!$AM$17,2)</f>
        <v>1305.9100000000001</v>
      </c>
      <c r="V5" s="29">
        <f>ROUND('TE BE'!$AB$7,2)</f>
        <v>197.29</v>
      </c>
    </row>
    <row r="6" spans="1:22" ht="11.25" customHeight="1" x14ac:dyDescent="0.25">
      <c r="A6" s="114"/>
      <c r="B6" s="114"/>
      <c r="C6" s="114"/>
      <c r="D6" s="31" t="s">
        <v>695</v>
      </c>
      <c r="E6" s="29">
        <f ca="1">ROUND('TUSD BE'!$AM$6+'TUSD BF'!$AM$6+'TUSD CVA'!$AM$6,2)</f>
        <v>28.04</v>
      </c>
      <c r="F6" s="29">
        <f ca="1">ROUND('TUSD BE'!$AM$7+'TUSD BF'!$AM$7+'TUSD CVA'!$AM$7,2)</f>
        <v>100.15</v>
      </c>
      <c r="G6" s="29">
        <f>ROUND('TE BE'!$AB$6+'TE BF'!$AB$6+'TE CVA'!$AB$6,2)</f>
        <v>185.42</v>
      </c>
      <c r="H6" s="29">
        <f ca="1">ROUND('TUSD BE'!$AM$6,2)</f>
        <v>35.619999999999997</v>
      </c>
      <c r="I6" s="29">
        <f ca="1">ROUND('TUSD BE'!$AM$7,2)</f>
        <v>96.36</v>
      </c>
      <c r="J6" s="29">
        <f>ROUND('TE BE'!$AB$6,2)</f>
        <v>197.29</v>
      </c>
      <c r="L6" s="118"/>
      <c r="M6" s="118"/>
      <c r="N6" s="118"/>
      <c r="O6" s="118"/>
      <c r="P6" s="31" t="s">
        <v>702</v>
      </c>
      <c r="Q6" s="29">
        <v>0</v>
      </c>
      <c r="R6" s="29">
        <f ca="1">ROUND('TUSD BE'!$AM$18+'TUSD BF'!$AM$18+'TUSD CVA'!$AM$18,2)</f>
        <v>669</v>
      </c>
      <c r="S6" s="29">
        <f>ROUND('TE BE'!$AB$8+'TE BF'!$AB$8+'TE CVA'!$AB$8,2)</f>
        <v>185.42</v>
      </c>
      <c r="T6" s="29">
        <v>0</v>
      </c>
      <c r="U6" s="29">
        <f ca="1">ROUND('TUSD BE'!$AM$18,2)</f>
        <v>831.97</v>
      </c>
      <c r="V6" s="29">
        <f>ROUND('TE BE'!$AB$8,2)</f>
        <v>197.29</v>
      </c>
    </row>
    <row r="7" spans="1:22" ht="11.25" customHeight="1" x14ac:dyDescent="0.25">
      <c r="A7" s="114"/>
      <c r="B7" s="113" t="s">
        <v>696</v>
      </c>
      <c r="C7" s="113" t="s">
        <v>25</v>
      </c>
      <c r="D7" s="31" t="s">
        <v>694</v>
      </c>
      <c r="E7" s="29">
        <f ca="1">ROUND('TUSD BE'!$AM$5+'TUSD BF'!$AM$5+'TUSD CVA'!$AM$5,2)</f>
        <v>87.61</v>
      </c>
      <c r="F7" s="29">
        <f ca="1">ROUND('TUSD BE'!$AM$8+'TUSD BF'!$AM$8+'TUSD CVA'!$AM$8,2)</f>
        <v>5.86</v>
      </c>
      <c r="G7" s="29">
        <v>0</v>
      </c>
      <c r="H7" s="29">
        <f ca="1">ROUND('TUSD BE'!$AM$5,2)</f>
        <v>114.54</v>
      </c>
      <c r="I7" s="29">
        <f ca="1">ROUND('TUSD BE'!$AM$8,2)</f>
        <v>6.16</v>
      </c>
      <c r="J7" s="29">
        <v>0</v>
      </c>
      <c r="L7" s="118"/>
      <c r="M7" s="119"/>
      <c r="N7" s="119"/>
      <c r="O7" s="119"/>
      <c r="P7" s="31" t="s">
        <v>695</v>
      </c>
      <c r="Q7" s="29">
        <v>0</v>
      </c>
      <c r="R7" s="29">
        <f ca="1">ROUND('TUSD BE'!$AM$19+'TUSD BF'!$AM$19+'TUSD CVA'!$AM$19,2)</f>
        <v>306.27</v>
      </c>
      <c r="S7" s="29">
        <f>ROUND('TE BE'!$AB$9+'TE BF'!$AB$9+'TE CVA'!$AB$9,2)</f>
        <v>185.42</v>
      </c>
      <c r="T7" s="29">
        <v>0</v>
      </c>
      <c r="U7" s="29">
        <f ca="1">ROUND('TUSD BE'!$AM$19,2)</f>
        <v>358.03</v>
      </c>
      <c r="V7" s="29">
        <f>ROUND('TE BE'!$AB$9,2)</f>
        <v>197.29</v>
      </c>
    </row>
    <row r="8" spans="1:22" ht="11.25" customHeight="1" x14ac:dyDescent="0.25">
      <c r="A8" s="114"/>
      <c r="B8" s="114"/>
      <c r="C8" s="114"/>
      <c r="D8" s="31" t="s">
        <v>695</v>
      </c>
      <c r="E8" s="29">
        <f ca="1">ROUND('TUSD BE'!$AM$6+'TUSD BF'!$AM$6+'TUSD CVA'!$AM$6,2)</f>
        <v>28.04</v>
      </c>
      <c r="F8" s="29">
        <f ca="1">ROUND('TUSD BE'!$AM$8+'TUSD BF'!$AM$8+'TUSD CVA'!$AM$8,2)</f>
        <v>5.86</v>
      </c>
      <c r="G8" s="29">
        <v>0</v>
      </c>
      <c r="H8" s="29">
        <f ca="1">ROUND('TUSD BE'!$AM$6,2)</f>
        <v>35.619999999999997</v>
      </c>
      <c r="I8" s="29">
        <f ca="1">ROUND('TUSD BE'!$AM$8,2)</f>
        <v>6.16</v>
      </c>
      <c r="J8" s="29">
        <v>0</v>
      </c>
      <c r="L8" s="118"/>
      <c r="M8" s="31" t="s">
        <v>703</v>
      </c>
      <c r="N8" s="31" t="s">
        <v>701</v>
      </c>
      <c r="O8" s="31" t="s">
        <v>701</v>
      </c>
      <c r="P8" s="31" t="s">
        <v>697</v>
      </c>
      <c r="Q8" s="29">
        <v>0</v>
      </c>
      <c r="R8" s="29">
        <f ca="1">ROUND('TUSD BE'!$AM$25+'TUSD BF'!$AM$25+'TUSD CVA'!$AM$25,2)</f>
        <v>437.6</v>
      </c>
      <c r="S8" s="29">
        <f>ROUND('TE BE'!$AB$15+'TE BF'!$AB$15+'TE CVA'!$AB$15,2)</f>
        <v>185.42</v>
      </c>
      <c r="T8" s="29">
        <v>0</v>
      </c>
      <c r="U8" s="29">
        <f ca="1">ROUND('TUSD BE'!$AM$25,2)</f>
        <v>529.63</v>
      </c>
      <c r="V8" s="29">
        <f>ROUND('TE BE'!$AB$15,2)</f>
        <v>197.29</v>
      </c>
    </row>
    <row r="9" spans="1:22" ht="11.25" customHeight="1" x14ac:dyDescent="0.25">
      <c r="A9" s="114"/>
      <c r="B9" s="113" t="s">
        <v>36</v>
      </c>
      <c r="C9" s="113" t="s">
        <v>25</v>
      </c>
      <c r="D9" s="31" t="s">
        <v>697</v>
      </c>
      <c r="E9" s="29">
        <f ca="1">ROUND('TUSD BE'!$AM$10+'TUSD BF'!$AM$10+'TUSD CVA'!$AM$10,2)</f>
        <v>28.04</v>
      </c>
      <c r="F9" s="29">
        <v>0</v>
      </c>
      <c r="G9" s="29">
        <v>0</v>
      </c>
      <c r="H9" s="29">
        <f ca="1">ROUND('TUSD BE'!$AM$10,2)</f>
        <v>35.619999999999997</v>
      </c>
      <c r="I9" s="29">
        <v>0</v>
      </c>
      <c r="J9" s="29">
        <v>0</v>
      </c>
      <c r="L9" s="118"/>
      <c r="M9" s="31" t="s">
        <v>705</v>
      </c>
      <c r="N9" s="31" t="s">
        <v>701</v>
      </c>
      <c r="O9" s="31" t="s">
        <v>701</v>
      </c>
      <c r="P9" s="31" t="s">
        <v>697</v>
      </c>
      <c r="Q9" s="29">
        <v>0</v>
      </c>
      <c r="R9" s="29">
        <f ca="1">ROUND('TUSD BE'!$AM$20+'TUSD BF'!$AM$20+'TUSD CVA'!$AM$20,2)</f>
        <v>437.6</v>
      </c>
      <c r="S9" s="29">
        <f>ROUND('TE BE'!$AB$10+'TE BF'!$AB$10+'TE CVA'!$AB$10,2)</f>
        <v>185.42</v>
      </c>
      <c r="T9" s="29">
        <v>0</v>
      </c>
      <c r="U9" s="29">
        <f ca="1">ROUND('TUSD BE'!$AM$20,2)</f>
        <v>529.63</v>
      </c>
      <c r="V9" s="29">
        <f>ROUND('TE BE'!$AB$10,2)</f>
        <v>197.29</v>
      </c>
    </row>
    <row r="10" spans="1:22" ht="11.25" customHeight="1" x14ac:dyDescent="0.25">
      <c r="A10" s="114"/>
      <c r="B10" s="114"/>
      <c r="C10" s="114"/>
      <c r="D10" s="31" t="s">
        <v>694</v>
      </c>
      <c r="E10" s="29">
        <v>0</v>
      </c>
      <c r="F10" s="29">
        <f ca="1">ROUND('TUSD BE'!$AM$11+'TUSD BF'!$AM$11+'TUSD CVA'!$AM$11,2)</f>
        <v>2207.17</v>
      </c>
      <c r="G10" s="29">
        <f>ROUND('TE BE'!$AB$5+'TE BF'!$AB$5+'TE CVA'!$AB$5,2)</f>
        <v>185.42</v>
      </c>
      <c r="H10" s="29">
        <v>0</v>
      </c>
      <c r="I10" s="29">
        <f ca="1">ROUND('TUSD BE'!$AM$11,2)</f>
        <v>2851.06</v>
      </c>
      <c r="J10" s="29">
        <f>ROUND('TE BE'!$AB$5,2)</f>
        <v>197.29</v>
      </c>
      <c r="L10" s="118"/>
      <c r="M10" s="31" t="s">
        <v>703</v>
      </c>
      <c r="N10" s="31" t="s">
        <v>701</v>
      </c>
      <c r="O10" s="31" t="s">
        <v>704</v>
      </c>
      <c r="P10" s="31" t="s">
        <v>697</v>
      </c>
      <c r="Q10" s="29">
        <v>0</v>
      </c>
      <c r="R10" s="29">
        <f ca="1">ROUND('TUSD BE'!$AM$26+'TUSD BF'!$AM$26+'TUSD CVA'!$AM$26,2)</f>
        <v>328.2</v>
      </c>
      <c r="S10" s="29">
        <f>ROUND('TE BE'!$AB$16+'TE BF'!$AB$16+'TE CVA'!$AB$16,2)</f>
        <v>185.42</v>
      </c>
      <c r="T10" s="29">
        <v>0</v>
      </c>
      <c r="U10" s="29">
        <f ca="1">ROUND('TUSD BE'!$AM$26,2)</f>
        <v>424.97</v>
      </c>
      <c r="V10" s="29">
        <f>ROUND('TE BE'!$AB$16,2)</f>
        <v>197.29</v>
      </c>
    </row>
    <row r="11" spans="1:22" ht="11.25" customHeight="1" x14ac:dyDescent="0.25">
      <c r="A11" s="114"/>
      <c r="B11" s="114"/>
      <c r="C11" s="114"/>
      <c r="D11" s="31" t="s">
        <v>695</v>
      </c>
      <c r="E11" s="29">
        <v>0</v>
      </c>
      <c r="F11" s="29">
        <f ca="1">ROUND('TUSD BE'!$AM$12+'TUSD BF'!$AM$12+'TUSD CVA'!$AM$12,2)</f>
        <v>100.15</v>
      </c>
      <c r="G11" s="29">
        <f>ROUND('TE BE'!$AB$6+'TE BF'!$AB$6+'TE CVA'!$AB$6,2)</f>
        <v>185.42</v>
      </c>
      <c r="H11" s="29">
        <v>0</v>
      </c>
      <c r="I11" s="29">
        <f ca="1">ROUND('TUSD BE'!$AM$12,2)</f>
        <v>96.36</v>
      </c>
      <c r="J11" s="29">
        <f>ROUND('TE BE'!$AB$6,2)</f>
        <v>197.29</v>
      </c>
      <c r="L11" s="119"/>
      <c r="M11" s="31" t="s">
        <v>705</v>
      </c>
      <c r="N11" s="31" t="s">
        <v>701</v>
      </c>
      <c r="O11" s="31" t="s">
        <v>704</v>
      </c>
      <c r="P11" s="31" t="s">
        <v>697</v>
      </c>
      <c r="Q11" s="29">
        <v>0</v>
      </c>
      <c r="R11" s="29">
        <f ca="1">ROUND('TUSD BE'!$AM$21+'TUSD BF'!$AM$21+'TUSD CVA'!$AM$21,2)</f>
        <v>328.2</v>
      </c>
      <c r="S11" s="29">
        <f>ROUND('TE BE'!$AB$11+'TE BF'!$AB$11+'TE CVA'!$AB$11,2)</f>
        <v>185.42</v>
      </c>
      <c r="T11" s="29">
        <v>0</v>
      </c>
      <c r="U11" s="29">
        <f ca="1">ROUND('TUSD BE'!$AM$21,2)</f>
        <v>424.97</v>
      </c>
      <c r="V11" s="29">
        <f>ROUND('TE BE'!$AB$11,2)</f>
        <v>197.29</v>
      </c>
    </row>
    <row r="12" spans="1:22" ht="11.25" customHeight="1" x14ac:dyDescent="0.25">
      <c r="A12" s="114"/>
      <c r="B12" s="113" t="s">
        <v>698</v>
      </c>
      <c r="C12" s="113" t="s">
        <v>25</v>
      </c>
      <c r="D12" s="31" t="s">
        <v>697</v>
      </c>
      <c r="E12" s="29">
        <f ca="1">ROUND('TUSD BE'!$AM$10+'TUSD BF'!$AM$10+'TUSD CVA'!$AM$10,2)</f>
        <v>28.04</v>
      </c>
      <c r="F12" s="29">
        <v>0</v>
      </c>
      <c r="G12" s="29">
        <v>0</v>
      </c>
      <c r="H12" s="29">
        <f ca="1">ROUND('TUSD BE'!$AM$10,2)</f>
        <v>35.619999999999997</v>
      </c>
      <c r="I12" s="29">
        <v>0</v>
      </c>
      <c r="J12" s="29">
        <v>0</v>
      </c>
      <c r="L12" s="117" t="s">
        <v>40</v>
      </c>
      <c r="M12" s="117" t="s">
        <v>700</v>
      </c>
      <c r="N12" s="117" t="s">
        <v>706</v>
      </c>
      <c r="O12" s="117" t="s">
        <v>707</v>
      </c>
      <c r="P12" s="31" t="s">
        <v>694</v>
      </c>
      <c r="Q12" s="29">
        <v>0</v>
      </c>
      <c r="R12" s="29">
        <f ca="1">ROUND(('TUSD BE'!$AM$30+'TUSD BF'!$AM$30+'TUSD CVA'!$AM$30)*(1-CUSTOS!$M$38),2)</f>
        <v>1028.6199999999999</v>
      </c>
      <c r="S12" s="29">
        <f>ROUND(('TE BE'!$AB$20+'TE BF'!$AB$20+'TE CVA'!$AB$20)*(1-CUSTOS!$M$38),2)</f>
        <v>174.3</v>
      </c>
      <c r="T12" s="29">
        <v>0</v>
      </c>
      <c r="U12" s="29">
        <f ca="1">ROUND('TUSD BE'!$AM$30*(1-CUSTOS!$M$38),2)</f>
        <v>1304.3599999999999</v>
      </c>
      <c r="V12" s="29">
        <f>ROUND('TE BE'!$AB$20*(1-CUSTOS!$M$38),2)</f>
        <v>185.46</v>
      </c>
    </row>
    <row r="13" spans="1:22" ht="11.25" customHeight="1" x14ac:dyDescent="0.25">
      <c r="A13" s="114"/>
      <c r="B13" s="114"/>
      <c r="C13" s="114"/>
      <c r="D13" s="31" t="s">
        <v>694</v>
      </c>
      <c r="E13" s="29">
        <v>0</v>
      </c>
      <c r="F13" s="29">
        <f ca="1">ROUND('TUSD BE'!$AM$13+'TUSD BF'!$AM$13+'TUSD CVA'!$AM$13,2)</f>
        <v>2112.88</v>
      </c>
      <c r="G13" s="29">
        <v>0</v>
      </c>
      <c r="H13" s="29">
        <v>0</v>
      </c>
      <c r="I13" s="29">
        <f ca="1">ROUND('TUSD BE'!$AM$13,2)</f>
        <v>2760.86</v>
      </c>
      <c r="J13" s="29">
        <v>0</v>
      </c>
      <c r="L13" s="118"/>
      <c r="M13" s="118"/>
      <c r="N13" s="118"/>
      <c r="O13" s="118"/>
      <c r="P13" s="31" t="s">
        <v>702</v>
      </c>
      <c r="Q13" s="29">
        <v>0</v>
      </c>
      <c r="R13" s="29">
        <f ca="1">ROUND(('TUSD BE'!$AM$31+'TUSD BF'!$AM$31+'TUSD CVA'!$AM$31)*(1-CUSTOS!$M$38),2)</f>
        <v>664.14</v>
      </c>
      <c r="S13" s="29">
        <f>ROUND(('TE BE'!$AB$21+'TE BF'!$AB$21+'TE CVA'!$AB$21)*(1-CUSTOS!$M$38),2)</f>
        <v>174.3</v>
      </c>
      <c r="T13" s="29">
        <v>0</v>
      </c>
      <c r="U13" s="29">
        <f ca="1">ROUND('TUSD BE'!$AM$31*(1-CUSTOS!$M$38),2)</f>
        <v>828.14</v>
      </c>
      <c r="V13" s="29">
        <f>ROUND('TE BE'!$AB$21*(1-CUSTOS!$M$38),2)</f>
        <v>185.46</v>
      </c>
    </row>
    <row r="14" spans="1:22" ht="11.25" customHeight="1" x14ac:dyDescent="0.25">
      <c r="A14" s="114"/>
      <c r="B14" s="114"/>
      <c r="C14" s="114"/>
      <c r="D14" s="31" t="s">
        <v>695</v>
      </c>
      <c r="E14" s="29">
        <v>0</v>
      </c>
      <c r="F14" s="29">
        <f ca="1">ROUND('TUSD BE'!$AM$14+'TUSD BF'!$AM$14+'TUSD CVA'!$AM$14,2)</f>
        <v>5.86</v>
      </c>
      <c r="G14" s="29">
        <v>0</v>
      </c>
      <c r="H14" s="29">
        <v>0</v>
      </c>
      <c r="I14" s="29">
        <f ca="1">ROUND('TUSD BE'!$AM$14,2)</f>
        <v>6.16</v>
      </c>
      <c r="J14" s="29">
        <v>0</v>
      </c>
      <c r="L14" s="118"/>
      <c r="M14" s="119"/>
      <c r="N14" s="119"/>
      <c r="O14" s="119"/>
      <c r="P14" s="31" t="s">
        <v>695</v>
      </c>
      <c r="Q14" s="29">
        <v>0</v>
      </c>
      <c r="R14" s="29">
        <f ca="1">ROUND(('TUSD BE'!$AM$32+'TUSD BF'!$AM$32+'TUSD CVA'!$AM$32)*(1-CUSTOS!$M$38),2)</f>
        <v>299.66000000000003</v>
      </c>
      <c r="S14" s="29">
        <f>ROUND(('TE BE'!$AB$22+'TE BF'!$AB$22+'TE CVA'!$AB$22)*(1-CUSTOS!$M$38),2)</f>
        <v>174.3</v>
      </c>
      <c r="T14" s="29">
        <v>0</v>
      </c>
      <c r="U14" s="29">
        <f ca="1">ROUND('TUSD BE'!$AM$32*(1-CUSTOS!$M$38),2)</f>
        <v>351.92</v>
      </c>
      <c r="V14" s="29">
        <f>ROUND('TE BE'!$AB$22*(1-CUSTOS!$M$38),2)</f>
        <v>185.46</v>
      </c>
    </row>
    <row r="15" spans="1:22" ht="11.25" customHeight="1" x14ac:dyDescent="0.25">
      <c r="A15" s="114"/>
      <c r="B15" s="31" t="s">
        <v>81</v>
      </c>
      <c r="C15" s="31" t="s">
        <v>25</v>
      </c>
      <c r="D15" s="31" t="s">
        <v>697</v>
      </c>
      <c r="E15" s="29">
        <f ca="1">ROUND('TUSD BE'!$AM$9+'TUSD BF'!$AM$9+'TUSD CVA'!$AM$9,2)</f>
        <v>14.05</v>
      </c>
      <c r="F15" s="29">
        <v>0</v>
      </c>
      <c r="G15" s="29">
        <v>0</v>
      </c>
      <c r="H15" s="29">
        <f ca="1">ROUND('TUSD BE'!$AM$9,2)</f>
        <v>19.59</v>
      </c>
      <c r="I15" s="29">
        <v>0</v>
      </c>
      <c r="J15" s="29">
        <v>0</v>
      </c>
      <c r="L15" s="118"/>
      <c r="M15" s="31" t="s">
        <v>703</v>
      </c>
      <c r="N15" s="31" t="s">
        <v>706</v>
      </c>
      <c r="O15" s="31" t="s">
        <v>707</v>
      </c>
      <c r="P15" s="31" t="s">
        <v>697</v>
      </c>
      <c r="Q15" s="29">
        <v>0</v>
      </c>
      <c r="R15" s="29">
        <f ca="1">ROUND(('TUSD BE'!$AM$42+'TUSD BF'!$AM$42+'TUSD CVA'!$AM$42)*(1-CUSTOS!$M$38),2)</f>
        <v>411.35</v>
      </c>
      <c r="S15" s="29">
        <f>ROUND(('TE BE'!$AB$32+'TE BF'!$AB$32+'TE CVA'!$AB$32)*(1-CUSTOS!$M$38),2)</f>
        <v>174.3</v>
      </c>
      <c r="T15" s="29">
        <v>0</v>
      </c>
      <c r="U15" s="29">
        <f ca="1">ROUND(('TUSD BE'!$AM$42)*(1-CUSTOS!$M$38),2)</f>
        <v>497.85</v>
      </c>
      <c r="V15" s="29">
        <f>ROUND(('TE BE'!$AB$32)*(1-CUSTOS!$M$38),2)</f>
        <v>185.46</v>
      </c>
    </row>
    <row r="16" spans="1:22" ht="11.25" customHeight="1" x14ac:dyDescent="0.25">
      <c r="L16" s="118"/>
      <c r="M16" s="31" t="s">
        <v>705</v>
      </c>
      <c r="N16" s="31" t="s">
        <v>706</v>
      </c>
      <c r="O16" s="31" t="s">
        <v>707</v>
      </c>
      <c r="P16" s="31" t="s">
        <v>697</v>
      </c>
      <c r="Q16" s="29">
        <v>0</v>
      </c>
      <c r="R16" s="29">
        <f ca="1">ROUND(('TUSD BE'!$AM$33+'TUSD BF'!$AM$33+'TUSD CVA'!$AM$33)*(1-CUSTOS!$M$38),2)</f>
        <v>411.35</v>
      </c>
      <c r="S16" s="29">
        <f>ROUND(('TE BE'!$AB$23+'TE BF'!$AB$23+'TE CVA'!$AB$23)*(1-CUSTOS!$M$38),2)</f>
        <v>174.3</v>
      </c>
      <c r="T16" s="29">
        <v>0</v>
      </c>
      <c r="U16" s="29">
        <f ca="1">ROUND(('TUSD BE'!$AM$33)*(1-CUSTOS!$M$38),2)</f>
        <v>497.85</v>
      </c>
      <c r="V16" s="29">
        <f>ROUND(('TE BE'!$AB$23)*(1-CUSTOS!$M$38),2)</f>
        <v>185.46</v>
      </c>
    </row>
    <row r="17" spans="12:22" ht="11.25" customHeight="1" x14ac:dyDescent="0.25">
      <c r="L17" s="118"/>
      <c r="M17" s="117" t="s">
        <v>700</v>
      </c>
      <c r="N17" s="117" t="s">
        <v>706</v>
      </c>
      <c r="O17" s="117" t="s">
        <v>708</v>
      </c>
      <c r="P17" s="31" t="s">
        <v>694</v>
      </c>
      <c r="Q17" s="29">
        <v>0</v>
      </c>
      <c r="R17" s="29">
        <f ca="1">ROUND(('TUSD BE'!$AM$34+'TUSD BF'!$AM$34+'TUSD CVA'!$AM$34)*(1-CUSTOS!$M$39),2)</f>
        <v>1028.6199999999999</v>
      </c>
      <c r="S17" s="29">
        <f>ROUND(('TE BE'!$AB$24+'TE BF'!$AB$24+'TE CVA'!$AB$24)*(1-CUSTOS!$M$39),2)</f>
        <v>174.3</v>
      </c>
      <c r="T17" s="29">
        <v>0</v>
      </c>
      <c r="U17" s="29">
        <f ca="1">ROUND('TUSD BE'!$AM$34*(1-CUSTOS!$M$39),2)</f>
        <v>1304.3599999999999</v>
      </c>
      <c r="V17" s="29">
        <f>ROUND('TE BE'!$AB$24*(1-CUSTOS!$M$39),2)</f>
        <v>185.46</v>
      </c>
    </row>
    <row r="18" spans="12:22" ht="11.25" customHeight="1" x14ac:dyDescent="0.25">
      <c r="L18" s="118"/>
      <c r="M18" s="118"/>
      <c r="N18" s="118"/>
      <c r="O18" s="118"/>
      <c r="P18" s="31" t="s">
        <v>702</v>
      </c>
      <c r="Q18" s="29">
        <v>0</v>
      </c>
      <c r="R18" s="29">
        <f ca="1">ROUND(('TUSD BE'!$AM$35+'TUSD BF'!$AM$35+'TUSD CVA'!$AM$35)*(1-CUSTOS!$M$39),2)</f>
        <v>664.14</v>
      </c>
      <c r="S18" s="29">
        <f>ROUND(('TE BE'!$AB$25+'TE BF'!$AB$25+'TE CVA'!$AB$25)*(1-CUSTOS!$M$39),2)</f>
        <v>174.3</v>
      </c>
      <c r="T18" s="29">
        <v>0</v>
      </c>
      <c r="U18" s="29">
        <f ca="1">ROUND('TUSD BE'!$AM$35*(1-CUSTOS!$M$39),2)</f>
        <v>828.14</v>
      </c>
      <c r="V18" s="29">
        <f>ROUND('TE BE'!$AB$25*(1-CUSTOS!$M$39),2)</f>
        <v>185.46</v>
      </c>
    </row>
    <row r="19" spans="12:22" ht="11.25" customHeight="1" x14ac:dyDescent="0.25">
      <c r="L19" s="118"/>
      <c r="M19" s="119"/>
      <c r="N19" s="119"/>
      <c r="O19" s="119"/>
      <c r="P19" s="31" t="s">
        <v>695</v>
      </c>
      <c r="Q19" s="29">
        <v>0</v>
      </c>
      <c r="R19" s="29">
        <f ca="1">ROUND(('TUSD BE'!$AM$36+'TUSD BF'!$AM$36+'TUSD CVA'!$AM$36)*(1-CUSTOS!$M$39),2)</f>
        <v>299.66000000000003</v>
      </c>
      <c r="S19" s="29">
        <f>ROUND(('TE BE'!$AB$26+'TE BF'!$AB$26+'TE CVA'!$AB$26)*(1-CUSTOS!$M$39),2)</f>
        <v>174.3</v>
      </c>
      <c r="T19" s="29">
        <v>0</v>
      </c>
      <c r="U19" s="29">
        <f ca="1">ROUND('TUSD BE'!$AM$36*(1-CUSTOS!$M$39),2)</f>
        <v>351.92</v>
      </c>
      <c r="V19" s="29">
        <f>ROUND('TE BE'!$AB$26*(1-CUSTOS!$M$39),2)</f>
        <v>185.46</v>
      </c>
    </row>
    <row r="20" spans="12:22" ht="11.25" customHeight="1" x14ac:dyDescent="0.25">
      <c r="L20" s="118"/>
      <c r="M20" s="31" t="s">
        <v>703</v>
      </c>
      <c r="N20" s="31" t="s">
        <v>706</v>
      </c>
      <c r="O20" s="31" t="s">
        <v>708</v>
      </c>
      <c r="P20" s="31" t="s">
        <v>697</v>
      </c>
      <c r="Q20" s="29">
        <v>0</v>
      </c>
      <c r="R20" s="29">
        <f ca="1">ROUND(('TUSD BE'!$AM$42+'TUSD BF'!$AM$42+'TUSD CVA'!$AM$42)*(1-CUSTOS!$M$39),2)</f>
        <v>411.35</v>
      </c>
      <c r="S20" s="29">
        <f>ROUND(('TE BE'!$AB$32+'TE BF'!$AB$32+'TE CVA'!$AB$32)*(1-CUSTOS!$M$39),2)</f>
        <v>174.3</v>
      </c>
      <c r="T20" s="29">
        <v>0</v>
      </c>
      <c r="U20" s="29">
        <f ca="1">ROUND(('TUSD BE'!$AM$42)*(1-CUSTOS!$M$39),2)</f>
        <v>497.85</v>
      </c>
      <c r="V20" s="29">
        <f>ROUND(('TE BE'!$AB$32)*(1-CUSTOS!$M$39),2)</f>
        <v>185.46</v>
      </c>
    </row>
    <row r="21" spans="12:22" ht="11.25" customHeight="1" x14ac:dyDescent="0.25">
      <c r="L21" s="118"/>
      <c r="M21" s="31" t="s">
        <v>705</v>
      </c>
      <c r="N21" s="31" t="s">
        <v>706</v>
      </c>
      <c r="O21" s="31" t="s">
        <v>708</v>
      </c>
      <c r="P21" s="31" t="s">
        <v>697</v>
      </c>
      <c r="Q21" s="29">
        <v>0</v>
      </c>
      <c r="R21" s="29">
        <f ca="1">ROUND(('TUSD BE'!$AM$33+'TUSD BF'!$AM$33+'TUSD CVA'!$AM$33)*(1-CUSTOS!$M$39),2)</f>
        <v>411.35</v>
      </c>
      <c r="S21" s="29">
        <f>ROUND(('TE BE'!$AB$23+'TE BF'!$AB$23+'TE CVA'!$AB$23)*(1-CUSTOS!$M$39),2)</f>
        <v>174.3</v>
      </c>
      <c r="T21" s="29">
        <v>0</v>
      </c>
      <c r="U21" s="29">
        <f ca="1">ROUND(('TUSD BE'!$AM$33)*(1-CUSTOS!$M$39),2)</f>
        <v>497.85</v>
      </c>
      <c r="V21" s="29">
        <f>ROUND(('TE BE'!$AB$23)*(1-CUSTOS!$M$39),2)</f>
        <v>185.46</v>
      </c>
    </row>
    <row r="22" spans="12:22" ht="11.25" customHeight="1" x14ac:dyDescent="0.25">
      <c r="L22" s="118"/>
      <c r="M22" s="117" t="s">
        <v>700</v>
      </c>
      <c r="N22" s="117" t="s">
        <v>706</v>
      </c>
      <c r="O22" s="117" t="s">
        <v>709</v>
      </c>
      <c r="P22" s="31" t="s">
        <v>694</v>
      </c>
      <c r="Q22" s="29">
        <v>0</v>
      </c>
      <c r="R22" s="29">
        <f ca="1">ROUND(('TUSD BE'!$AM$38+'TUSD BF'!$AM$38+'TUSD CVA'!$AM$38)*(1-CUSTOS!$M$40),2)</f>
        <v>1006.74</v>
      </c>
      <c r="S22" s="29">
        <f>ROUND(('TE BE'!$AB$28+'TE BF'!$AB$28+'TE CVA'!$AB$28)*(1-CUSTOS!$M$40),2)</f>
        <v>170.59</v>
      </c>
      <c r="T22" s="29">
        <v>0</v>
      </c>
      <c r="U22" s="29">
        <f ca="1">ROUND('TUSD BE'!$AM$38*(1-CUSTOS!$M$40),2)</f>
        <v>1276.6099999999999</v>
      </c>
      <c r="V22" s="29">
        <f>ROUND('TE BE'!$AB$28*(1-CUSTOS!$M$40),2)</f>
        <v>181.51</v>
      </c>
    </row>
    <row r="23" spans="12:22" ht="11.25" customHeight="1" x14ac:dyDescent="0.25">
      <c r="L23" s="118"/>
      <c r="M23" s="118"/>
      <c r="N23" s="118"/>
      <c r="O23" s="118"/>
      <c r="P23" s="31" t="s">
        <v>702</v>
      </c>
      <c r="Q23" s="29">
        <v>0</v>
      </c>
      <c r="R23" s="29">
        <f ca="1">ROUND(('TUSD BE'!$AM$39+'TUSD BF'!$AM$39+'TUSD CVA'!$AM$39)*(1-CUSTOS!$M$40),2)</f>
        <v>650.01</v>
      </c>
      <c r="S23" s="29">
        <f>ROUND(('TE BE'!$AB$29+'TE BF'!$AB$29+'TE CVA'!$AB$29)*(1-CUSTOS!$M$40),2)</f>
        <v>170.59</v>
      </c>
      <c r="T23" s="29">
        <v>0</v>
      </c>
      <c r="U23" s="29">
        <f ca="1">ROUND('TUSD BE'!$AM$39*(1-CUSTOS!$M$40),2)</f>
        <v>810.52</v>
      </c>
      <c r="V23" s="29">
        <f>ROUND('TE BE'!$AB$29*(1-CUSTOS!$M$40),2)</f>
        <v>181.51</v>
      </c>
    </row>
    <row r="24" spans="12:22" ht="11.25" customHeight="1" x14ac:dyDescent="0.25">
      <c r="L24" s="118"/>
      <c r="M24" s="119"/>
      <c r="N24" s="119"/>
      <c r="O24" s="119"/>
      <c r="P24" s="31" t="s">
        <v>695</v>
      </c>
      <c r="Q24" s="29">
        <v>0</v>
      </c>
      <c r="R24" s="29">
        <f ca="1">ROUND(('TUSD BE'!$AM$40+'TUSD BF'!$AM$40+'TUSD CVA'!$AM$40)*(1-CUSTOS!$M$40),2)</f>
        <v>293.27999999999997</v>
      </c>
      <c r="S24" s="29">
        <f>ROUND(('TE BE'!$AB$30+'TE BF'!$AB$30+'TE CVA'!$AB$30)*(1-CUSTOS!$M$40),2)</f>
        <v>170.59</v>
      </c>
      <c r="T24" s="29">
        <v>0</v>
      </c>
      <c r="U24" s="29">
        <f ca="1">ROUND('TUSD BE'!$AM$40*(1-CUSTOS!$M$40),2)</f>
        <v>344.43</v>
      </c>
      <c r="V24" s="29">
        <f>ROUND('TE BE'!$AB$30*(1-CUSTOS!$M$40),2)</f>
        <v>181.51</v>
      </c>
    </row>
    <row r="25" spans="12:22" ht="11.25" customHeight="1" x14ac:dyDescent="0.25">
      <c r="L25" s="118"/>
      <c r="M25" s="31" t="s">
        <v>703</v>
      </c>
      <c r="N25" s="31" t="s">
        <v>706</v>
      </c>
      <c r="O25" s="31" t="s">
        <v>709</v>
      </c>
      <c r="P25" s="31" t="s">
        <v>697</v>
      </c>
      <c r="Q25" s="29">
        <v>0</v>
      </c>
      <c r="R25" s="29">
        <f ca="1">ROUND(('TUSD BE'!$AM$42+'TUSD BF'!$AM$42+'TUSD CVA'!$AM$42)*(1-CUSTOS!$M$40),2)</f>
        <v>402.59</v>
      </c>
      <c r="S25" s="29">
        <f>ROUND(('TE BE'!$AB$32+'TE BF'!$AB$32+'TE CVA'!$AB$32)*(1-CUSTOS!$M$40),2)</f>
        <v>170.59</v>
      </c>
      <c r="T25" s="29">
        <v>0</v>
      </c>
      <c r="U25" s="29">
        <f ca="1">ROUND(('TUSD BE'!$AM$42)*(1-CUSTOS!$M$40),2)</f>
        <v>487.26</v>
      </c>
      <c r="V25" s="29">
        <f>ROUND(('TE BE'!$AB$32)*(1-CUSTOS!$M$40),2)</f>
        <v>181.51</v>
      </c>
    </row>
    <row r="26" spans="12:22" ht="11.25" customHeight="1" x14ac:dyDescent="0.25">
      <c r="L26" s="119"/>
      <c r="M26" s="31" t="s">
        <v>705</v>
      </c>
      <c r="N26" s="31" t="s">
        <v>706</v>
      </c>
      <c r="O26" s="31" t="s">
        <v>709</v>
      </c>
      <c r="P26" s="31" t="s">
        <v>697</v>
      </c>
      <c r="Q26" s="29">
        <v>0</v>
      </c>
      <c r="R26" s="29">
        <f ca="1">ROUND(('TUSD BE'!$AM$33+'TUSD BF'!$AM$33+'TUSD CVA'!$AM$33)*(1-CUSTOS!$M$40),2)</f>
        <v>402.59</v>
      </c>
      <c r="S26" s="29">
        <f>ROUND(('TE BE'!$AB$23+'TE BF'!$AB$23+'TE CVA'!$AB$23)*(1-CUSTOS!$M$40),2)</f>
        <v>170.59</v>
      </c>
      <c r="T26" s="29">
        <v>0</v>
      </c>
      <c r="U26" s="29">
        <f ca="1">ROUND(('TUSD BE'!$AM$33)*(1-CUSTOS!$M$40),2)</f>
        <v>487.26</v>
      </c>
      <c r="V26" s="29">
        <f>ROUND(('TE BE'!$AB$23)*(1-CUSTOS!$M$40),2)</f>
        <v>181.51</v>
      </c>
    </row>
    <row r="27" spans="12:22" ht="11.25" customHeight="1" x14ac:dyDescent="0.25">
      <c r="L27" s="117" t="s">
        <v>33</v>
      </c>
      <c r="M27" s="117" t="s">
        <v>700</v>
      </c>
      <c r="N27" s="117" t="s">
        <v>697</v>
      </c>
      <c r="O27" s="117" t="s">
        <v>697</v>
      </c>
      <c r="P27" s="31" t="s">
        <v>694</v>
      </c>
      <c r="Q27" s="29">
        <v>0</v>
      </c>
      <c r="R27" s="29">
        <f ca="1">ROUND(('TUSD BE'!$AM$45+'TUSD BF'!$AM$45+'TUSD CVA'!$AM$45)*(1-CUSTOS!$M$31),2)</f>
        <v>1125.54</v>
      </c>
      <c r="S27" s="29">
        <f>ROUND(('TE BE'!$AB$35+'TE BF'!$AB$35+'TE CVA'!$AB$35)*(1-CUSTOS!$M$31),2)</f>
        <v>185.42</v>
      </c>
      <c r="T27" s="29">
        <v>0</v>
      </c>
      <c r="U27" s="29">
        <f ca="1">ROUND('TUSD BE'!$AM$45*(1-CUSTOS!$M$31),2)</f>
        <v>1428.47</v>
      </c>
      <c r="V27" s="29">
        <f>ROUND('TE BE'!$AB$35*(1-CUSTOS!$M$31),2)</f>
        <v>197.29</v>
      </c>
    </row>
    <row r="28" spans="12:22" ht="11.25" customHeight="1" x14ac:dyDescent="0.25">
      <c r="L28" s="118"/>
      <c r="M28" s="118"/>
      <c r="N28" s="118"/>
      <c r="O28" s="118"/>
      <c r="P28" s="31" t="s">
        <v>702</v>
      </c>
      <c r="Q28" s="29">
        <v>0</v>
      </c>
      <c r="R28" s="29">
        <f ca="1">ROUND(('TUSD BE'!$AM$46+'TUSD BF'!$AM$46+'TUSD CVA'!$AM$46)*(1-CUSTOS!$M$31),2)</f>
        <v>725.29</v>
      </c>
      <c r="S28" s="29">
        <f>ROUND(('TE BE'!$AB$36+'TE BF'!$AB$36+'TE CVA'!$AB$36)*(1-CUSTOS!$M$31),2)</f>
        <v>185.42</v>
      </c>
      <c r="T28" s="29">
        <v>0</v>
      </c>
      <c r="U28" s="29">
        <f ca="1">ROUND('TUSD BE'!$AM$46*(1-CUSTOS!$M$31),2)</f>
        <v>905.51</v>
      </c>
      <c r="V28" s="29">
        <f>ROUND('TE BE'!$AB$36*(1-CUSTOS!$M$31),2)</f>
        <v>197.29</v>
      </c>
    </row>
    <row r="29" spans="12:22" ht="11.25" customHeight="1" x14ac:dyDescent="0.25">
      <c r="L29" s="118"/>
      <c r="M29" s="119"/>
      <c r="N29" s="119"/>
      <c r="O29" s="119"/>
      <c r="P29" s="31" t="s">
        <v>695</v>
      </c>
      <c r="Q29" s="29">
        <v>0</v>
      </c>
      <c r="R29" s="29">
        <f ca="1">ROUND(('TUSD BE'!$AM$47+'TUSD BF'!$AM$47+'TUSD CVA'!$AM$47)*(1-CUSTOS!$M$31),2)</f>
        <v>325.02999999999997</v>
      </c>
      <c r="S29" s="29">
        <f>ROUND(('TE BE'!$AB$37+'TE BF'!$AB$37+'TE CVA'!$AB$37)*(1-CUSTOS!$M$31),2)</f>
        <v>185.42</v>
      </c>
      <c r="T29" s="29">
        <v>0</v>
      </c>
      <c r="U29" s="29">
        <f ca="1">ROUND('TUSD BE'!$AM$47*(1-CUSTOS!$M$31),2)</f>
        <v>382.54</v>
      </c>
      <c r="V29" s="29">
        <f>ROUND('TE BE'!$AB$37*(1-CUSTOS!$M$31),2)</f>
        <v>197.29</v>
      </c>
    </row>
    <row r="30" spans="12:22" ht="11.25" customHeight="1" x14ac:dyDescent="0.25">
      <c r="L30" s="118"/>
      <c r="M30" s="31" t="s">
        <v>703</v>
      </c>
      <c r="N30" s="31" t="s">
        <v>697</v>
      </c>
      <c r="O30" s="31" t="s">
        <v>697</v>
      </c>
      <c r="P30" s="31" t="s">
        <v>697</v>
      </c>
      <c r="Q30" s="29">
        <v>0</v>
      </c>
      <c r="R30" s="29">
        <f ca="1">ROUND(('TUSD BE'!$AM$49+'TUSD BF'!$AM$49+'TUSD CVA'!$AM$49)*(1-CUSTOS!$M$31),2)</f>
        <v>437.6</v>
      </c>
      <c r="S30" s="29">
        <f>ROUND(('TE BE'!$AB$39+'TE BF'!$AB$39+'TE CVA'!$AB$39)*(1-CUSTOS!$M$31),2)</f>
        <v>185.42</v>
      </c>
      <c r="T30" s="29">
        <v>0</v>
      </c>
      <c r="U30" s="29">
        <f ca="1">ROUND(('TUSD BE'!$AM$49)*(1-CUSTOS!$M$31),2)</f>
        <v>529.63</v>
      </c>
      <c r="V30" s="29">
        <f>ROUND(('TE BE'!$AB$39)*(1-CUSTOS!$M$31),2)</f>
        <v>197.29</v>
      </c>
    </row>
    <row r="31" spans="12:22" ht="11.25" customHeight="1" x14ac:dyDescent="0.25">
      <c r="L31" s="119"/>
      <c r="M31" s="31" t="s">
        <v>705</v>
      </c>
      <c r="N31" s="31" t="s">
        <v>697</v>
      </c>
      <c r="O31" s="31" t="s">
        <v>697</v>
      </c>
      <c r="P31" s="31" t="s">
        <v>697</v>
      </c>
      <c r="Q31" s="29">
        <v>0</v>
      </c>
      <c r="R31" s="29">
        <f ca="1">ROUND(('TUSD BE'!$AM$48+'TUSD BF'!$AM$48+'TUSD CVA'!$AM$48)*(1-CUSTOS!$M$31),2)</f>
        <v>437.6</v>
      </c>
      <c r="S31" s="29">
        <f>ROUND(('TE BE'!$AB$38+'TE BF'!$AB$38+'TE CVA'!$AB$38)*(1-CUSTOS!$M$31),2)</f>
        <v>185.42</v>
      </c>
      <c r="T31" s="29">
        <v>0</v>
      </c>
      <c r="U31" s="29">
        <f ca="1">ROUND(('TUSD BE'!$AM$48)*(1-CUSTOS!$M$31),2)</f>
        <v>529.63</v>
      </c>
      <c r="V31" s="29">
        <f>ROUND(('TE BE'!$AB$38)*(1-CUSTOS!$M$31),2)</f>
        <v>197.29</v>
      </c>
    </row>
    <row r="32" spans="12:22" ht="11.25" customHeight="1" x14ac:dyDescent="0.25">
      <c r="L32" s="117" t="s">
        <v>43</v>
      </c>
      <c r="M32" s="117" t="s">
        <v>705</v>
      </c>
      <c r="N32" s="117" t="s">
        <v>710</v>
      </c>
      <c r="O32" s="31" t="s">
        <v>711</v>
      </c>
      <c r="P32" s="31" t="s">
        <v>697</v>
      </c>
      <c r="Q32" s="29">
        <v>0</v>
      </c>
      <c r="R32" s="29">
        <f ca="1">ROUND(('TUSD BE'!$AM$50+'TUSD BF'!$AM$50+'TUSD CVA'!$AM$50),2)</f>
        <v>240.68</v>
      </c>
      <c r="S32" s="29">
        <f>ROUND(('TE BE'!$AB$40+'TE BF'!$AB$40+'TE CVA'!$AB$40),2)</f>
        <v>101.98</v>
      </c>
      <c r="T32" s="29">
        <v>0</v>
      </c>
      <c r="U32" s="29">
        <f ca="1">ROUND(('TUSD BE'!$AM$50),2)</f>
        <v>291.29000000000002</v>
      </c>
      <c r="V32" s="29">
        <f>ROUND(('TE BE'!$AB$40),2)</f>
        <v>108.51</v>
      </c>
    </row>
    <row r="33" spans="12:22" ht="11.25" customHeight="1" x14ac:dyDescent="0.25">
      <c r="L33" s="119"/>
      <c r="M33" s="119"/>
      <c r="N33" s="119"/>
      <c r="O33" s="31" t="s">
        <v>712</v>
      </c>
      <c r="P33" s="31" t="s">
        <v>697</v>
      </c>
      <c r="Q33" s="29">
        <v>0</v>
      </c>
      <c r="R33" s="29">
        <f ca="1">ROUND(('TUSD BE'!$AM$51+'TUSD BF'!$AM$51+'TUSD CVA'!$AM$51),2)</f>
        <v>262.56</v>
      </c>
      <c r="S33" s="29">
        <f>ROUND(('TE BE'!$AB$41+'TE BF'!$AB$41+'TE CVA'!$AB$41),2)</f>
        <v>111.25</v>
      </c>
      <c r="T33" s="29">
        <v>0</v>
      </c>
      <c r="U33" s="29">
        <f ca="1">ROUND(('TUSD BE'!$AM$51),2)</f>
        <v>317.77999999999997</v>
      </c>
      <c r="V33" s="29">
        <f>ROUND(('TE BE'!$AB$41),2)</f>
        <v>118.38</v>
      </c>
    </row>
    <row r="34" spans="12:22" ht="11.25" customHeight="1" x14ac:dyDescent="0.25">
      <c r="L34" s="117" t="s">
        <v>82</v>
      </c>
      <c r="M34" s="117" t="s">
        <v>713</v>
      </c>
      <c r="N34" s="31" t="s">
        <v>83</v>
      </c>
      <c r="O34" s="31" t="s">
        <v>697</v>
      </c>
      <c r="P34" s="31" t="s">
        <v>697</v>
      </c>
      <c r="Q34" s="29">
        <f ca="1">ROUND(('TUSD BE'!$AM$15+'TUSD BF'!$AM$15+'TUSD CVA'!$AM$15),2)</f>
        <v>2.65</v>
      </c>
      <c r="R34" s="29">
        <v>0</v>
      </c>
      <c r="S34" s="29">
        <v>0</v>
      </c>
      <c r="T34" s="29">
        <f ca="1">ROUND(('TUSD BE'!$AM$15),2)</f>
        <v>3.7</v>
      </c>
      <c r="U34" s="29">
        <v>0</v>
      </c>
      <c r="V34" s="29">
        <v>0</v>
      </c>
    </row>
    <row r="35" spans="12:22" ht="11.25" customHeight="1" x14ac:dyDescent="0.25">
      <c r="L35" s="119"/>
      <c r="M35" s="119"/>
      <c r="N35" s="31" t="s">
        <v>84</v>
      </c>
      <c r="O35" s="31" t="s">
        <v>697</v>
      </c>
      <c r="P35" s="31" t="s">
        <v>697</v>
      </c>
      <c r="Q35" s="29">
        <f ca="1">ROUND(('TUSD BE'!$AM$16+'TUSD BF'!$AM$16+'TUSD CVA'!$AM$16),2)</f>
        <v>14.6</v>
      </c>
      <c r="R35" s="29">
        <v>0</v>
      </c>
      <c r="S35" s="29">
        <v>0</v>
      </c>
      <c r="T35" s="29">
        <f ca="1">ROUND(('TUSD BE'!$AM$16),2)</f>
        <v>20.37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B9C3-8876-442B-AAD4-EE3A5B65D715}">
  <dimension ref="A1:AN508"/>
  <sheetViews>
    <sheetView showGridLines="0" workbookViewId="0">
      <selection sqref="A1:O508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3" t="s">
        <v>8</v>
      </c>
      <c r="J1" s="30" t="s">
        <v>660</v>
      </c>
      <c r="K1" s="30" t="s">
        <v>661</v>
      </c>
      <c r="L1" s="30" t="s">
        <v>662</v>
      </c>
      <c r="M1" s="30" t="s">
        <v>663</v>
      </c>
      <c r="N1" s="30" t="s">
        <v>664</v>
      </c>
      <c r="O1" s="30" t="s">
        <v>665</v>
      </c>
      <c r="P1" s="7"/>
      <c r="Q1" s="111" t="s">
        <v>666</v>
      </c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L1" s="34" t="s">
        <v>687</v>
      </c>
      <c r="AM1" s="34" t="s">
        <v>60</v>
      </c>
      <c r="AN1" s="34" t="s">
        <v>688</v>
      </c>
    </row>
    <row r="2" spans="1:40" ht="11.25" customHeight="1" x14ac:dyDescent="0.2">
      <c r="A2" s="35" t="s">
        <v>21</v>
      </c>
      <c r="B2" s="35" t="s">
        <v>35</v>
      </c>
      <c r="C2" s="35" t="s">
        <v>54</v>
      </c>
      <c r="D2" s="35" t="s">
        <v>34</v>
      </c>
      <c r="E2" s="35" t="s">
        <v>25</v>
      </c>
      <c r="F2" s="35" t="s">
        <v>55</v>
      </c>
      <c r="G2" s="35" t="s">
        <v>25</v>
      </c>
      <c r="H2" s="35" t="s">
        <v>38</v>
      </c>
      <c r="I2" s="54">
        <v>44440</v>
      </c>
      <c r="J2" s="55">
        <f ca="1">EFEITO!$J$2*EFEITO!$Y$2</f>
        <v>2439.5023091939283</v>
      </c>
      <c r="K2" s="55">
        <f ca="1">EFEITO!$L$2*EFEITO!$Z$2</f>
        <v>0</v>
      </c>
      <c r="L2" s="55">
        <f>EFEITO!$N$2*EFEITO!$AA$2</f>
        <v>0</v>
      </c>
      <c r="M2" s="55">
        <f ca="1">$J$2-EFEITO!$K$2*EFEITO!$Y$2</f>
        <v>1219.7511545969642</v>
      </c>
      <c r="N2" s="55">
        <f ca="1">$K$2-EFEITO!$M$2*EFEITO!$Z$2</f>
        <v>0</v>
      </c>
      <c r="O2" s="55">
        <f>$L$2-EFEITO!$O$2*EFEITO!$AA$2</f>
        <v>0</v>
      </c>
      <c r="P2" s="39"/>
      <c r="Q2" s="28" t="s">
        <v>63</v>
      </c>
      <c r="R2" s="28" t="s">
        <v>668</v>
      </c>
      <c r="S2" s="28" t="s">
        <v>669</v>
      </c>
      <c r="T2" s="28" t="s">
        <v>670</v>
      </c>
      <c r="U2" s="28" t="s">
        <v>671</v>
      </c>
      <c r="V2" s="28" t="s">
        <v>672</v>
      </c>
      <c r="W2" s="28" t="s">
        <v>673</v>
      </c>
      <c r="X2" s="56" t="s">
        <v>674</v>
      </c>
      <c r="Y2" s="56" t="s">
        <v>675</v>
      </c>
      <c r="Z2" s="56" t="s">
        <v>676</v>
      </c>
      <c r="AA2" s="56" t="s">
        <v>677</v>
      </c>
      <c r="AB2" s="56" t="s">
        <v>678</v>
      </c>
      <c r="AC2" s="56" t="s">
        <v>679</v>
      </c>
      <c r="AD2" s="56" t="s">
        <v>680</v>
      </c>
      <c r="AE2" s="56" t="s">
        <v>681</v>
      </c>
      <c r="AF2" s="56" t="s">
        <v>682</v>
      </c>
      <c r="AG2" s="56" t="s">
        <v>683</v>
      </c>
      <c r="AH2" s="56" t="s">
        <v>684</v>
      </c>
      <c r="AI2" s="56" t="s">
        <v>685</v>
      </c>
      <c r="AJ2" s="56" t="s">
        <v>686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35</v>
      </c>
      <c r="C3" s="35" t="s">
        <v>54</v>
      </c>
      <c r="D3" s="35" t="s">
        <v>34</v>
      </c>
      <c r="E3" s="35" t="s">
        <v>25</v>
      </c>
      <c r="F3" s="35" t="s">
        <v>55</v>
      </c>
      <c r="G3" s="35" t="s">
        <v>25</v>
      </c>
      <c r="H3" s="35" t="s">
        <v>38</v>
      </c>
      <c r="I3" s="54">
        <v>44470</v>
      </c>
      <c r="J3" s="55">
        <f ca="1">EFEITO!$J$3*EFEITO!$Y$3</f>
        <v>2439.5023091939283</v>
      </c>
      <c r="K3" s="55">
        <f ca="1">EFEITO!$L$3*EFEITO!$Z$3</f>
        <v>0</v>
      </c>
      <c r="L3" s="55">
        <f>EFEITO!$N$3*EFEITO!$AA$3</f>
        <v>0</v>
      </c>
      <c r="M3" s="55">
        <f ca="1">$J$3-EFEITO!$K$3*EFEITO!$Y$3</f>
        <v>1219.7511545969642</v>
      </c>
      <c r="N3" s="55">
        <f ca="1">$K$3-EFEITO!$M$3*EFEITO!$Z$3</f>
        <v>0</v>
      </c>
      <c r="O3" s="55">
        <f>$L$3-EFEITO!$O$3*EFEITO!$AA$3</f>
        <v>0</v>
      </c>
      <c r="P3" s="39"/>
      <c r="Q3" s="55" t="s">
        <v>667</v>
      </c>
      <c r="R3" s="55">
        <f>SUMIF($B$2:$B$508,$Q$3,$J$2:$J$508)</f>
        <v>0</v>
      </c>
      <c r="S3" s="55">
        <f>SUMIF($B$2:$B$508,$Q$3,$K$2:$K$508)</f>
        <v>0</v>
      </c>
      <c r="T3" s="55">
        <f>SUMIF($B$2:$B$508,$Q$3,$L$2:$L$508)</f>
        <v>0</v>
      </c>
      <c r="U3" s="55">
        <f>SUMIF($B$2:$B$508,$Q$3,$M$2:$M$508)</f>
        <v>0</v>
      </c>
      <c r="V3" s="55">
        <f>SUMIF($B$2:$B$508,$Q$3,$N$2:$N$508)</f>
        <v>0</v>
      </c>
      <c r="W3" s="55">
        <f>SUMIF($B$2:$B$508,$Q$3,$O$2:$O$508)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SUMIF(EFEITO!$B$2:$B$508,$Q$3,EFEITO!$AE$2:$AE$508)</f>
        <v>0</v>
      </c>
      <c r="AB3" s="36">
        <f>SUMIF(EFEITO!$B$2:$B$508,$Q$3,EFEITO!$AF$2:$AF$508)</f>
        <v>0</v>
      </c>
      <c r="AC3" s="36">
        <f>SUMIF(EFEITO!$B$2:$B$508,$Q$3,EFEITO!$AG$2:$AH$508)</f>
        <v>0</v>
      </c>
      <c r="AD3" s="36">
        <f>SUMIF(SUBSIDIO!$B$2:$B$508,$Q$3,SUBSIDIO!$AD$2:$AD$508)</f>
        <v>0</v>
      </c>
      <c r="AE3" s="36">
        <f>SUMIF(SUBSIDIO!$B$2:$B$508,$Q$3,SUBSIDIO!$AE$2:$AE$508)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35</v>
      </c>
      <c r="C4" s="35" t="s">
        <v>54</v>
      </c>
      <c r="D4" s="35" t="s">
        <v>34</v>
      </c>
      <c r="E4" s="35" t="s">
        <v>25</v>
      </c>
      <c r="F4" s="35" t="s">
        <v>55</v>
      </c>
      <c r="G4" s="35" t="s">
        <v>25</v>
      </c>
      <c r="H4" s="35" t="s">
        <v>38</v>
      </c>
      <c r="I4" s="54">
        <v>44501</v>
      </c>
      <c r="J4" s="55">
        <f ca="1">EFEITO!$J$4*EFEITO!$Y$4</f>
        <v>2495.5828220489611</v>
      </c>
      <c r="K4" s="55">
        <f ca="1">EFEITO!$L$4*EFEITO!$Z$4</f>
        <v>0</v>
      </c>
      <c r="L4" s="55">
        <f>EFEITO!$N$4*EFEITO!$AA$4</f>
        <v>0</v>
      </c>
      <c r="M4" s="55">
        <f ca="1">$J$4-EFEITO!$K$4*EFEITO!$Y$4</f>
        <v>1247.7914110244806</v>
      </c>
      <c r="N4" s="55">
        <f ca="1">$K$4-EFEITO!$M$4*EFEITO!$Z$4</f>
        <v>0</v>
      </c>
      <c r="O4" s="55">
        <f>$L$4-EFEITO!$O$4*EFEITO!$AA$4</f>
        <v>0</v>
      </c>
      <c r="P4" s="39"/>
      <c r="Q4" s="55" t="s">
        <v>544</v>
      </c>
      <c r="R4" s="55">
        <f>SUMIF($B$2:$B$508,$Q$4,$J$2:$J$508)</f>
        <v>0</v>
      </c>
      <c r="S4" s="55">
        <f>SUMIF($B$2:$B$508,$Q$4,$K$2:$K$508)</f>
        <v>0</v>
      </c>
      <c r="T4" s="55">
        <f>SUMIF($B$2:$B$508,$Q$4,$L$2:$L$508)</f>
        <v>0</v>
      </c>
      <c r="U4" s="55">
        <f>SUMIF($B$2:$B$508,$Q$4,$M$2:$M$508)</f>
        <v>0</v>
      </c>
      <c r="V4" s="55">
        <f>SUMIF($B$2:$B$508,$Q$4,$N$2:$N$508)</f>
        <v>0</v>
      </c>
      <c r="W4" s="55">
        <f>SUMIF($B$2:$B$508,$Q$4,$O$2:$O$508)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SUMIF(EFEITO!$B$2:$B$508,$Q$4,EFEITO!$AE$2:$AE$508)</f>
        <v>0</v>
      </c>
      <c r="AB4" s="36">
        <f>SUMIF(EFEITO!$B$2:$B$508,$Q$4,EFEITO!$AF$2:$AF$508)</f>
        <v>0</v>
      </c>
      <c r="AC4" s="36">
        <f>SUMIF(EFEITO!$B$2:$B$508,$Q$4,EFEITO!$AG$2:$AH$508)</f>
        <v>0</v>
      </c>
      <c r="AD4" s="36">
        <f>SUMIF(SUBSIDIO!$B$2:$B$508,$Q$4,SUBSIDIO!$AD$2:$AD$508)</f>
        <v>0</v>
      </c>
      <c r="AE4" s="36">
        <f>SUMIF(SUBSIDIO!$B$2:$B$508,$Q$4,SUBSIDIO!$AE$2:$AE$508)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35</v>
      </c>
      <c r="C5" s="35" t="s">
        <v>54</v>
      </c>
      <c r="D5" s="35" t="s">
        <v>34</v>
      </c>
      <c r="E5" s="35" t="s">
        <v>25</v>
      </c>
      <c r="F5" s="35" t="s">
        <v>55</v>
      </c>
      <c r="G5" s="35" t="s">
        <v>25</v>
      </c>
      <c r="H5" s="35" t="s">
        <v>38</v>
      </c>
      <c r="I5" s="54">
        <v>44531</v>
      </c>
      <c r="J5" s="55">
        <f ca="1">EFEITO!$J$5*EFEITO!$Y$5</f>
        <v>2495.5828220489611</v>
      </c>
      <c r="K5" s="55">
        <f ca="1">EFEITO!$L$5*EFEITO!$Z$5</f>
        <v>0</v>
      </c>
      <c r="L5" s="55">
        <f>EFEITO!$N$5*EFEITO!$AA$5</f>
        <v>0</v>
      </c>
      <c r="M5" s="55">
        <f ca="1">$J$5-EFEITO!$K$5*EFEITO!$Y$5</f>
        <v>1247.7914110244806</v>
      </c>
      <c r="N5" s="55">
        <f ca="1">$K$5-EFEITO!$M$5*EFEITO!$Z$5</f>
        <v>0</v>
      </c>
      <c r="O5" s="55">
        <f>$L$5-EFEITO!$O$5*EFEITO!$AA$5</f>
        <v>0</v>
      </c>
      <c r="P5" s="39"/>
      <c r="Q5" s="55" t="s">
        <v>545</v>
      </c>
      <c r="R5" s="55">
        <f>SUMIF($B$2:$B$508,$Q$5,$J$2:$J$508)</f>
        <v>0</v>
      </c>
      <c r="S5" s="55">
        <f>SUMIF($B$2:$B$508,$Q$5,$K$2:$K$508)</f>
        <v>0</v>
      </c>
      <c r="T5" s="55">
        <f>SUMIF($B$2:$B$508,$Q$5,$L$2:$L$508)</f>
        <v>0</v>
      </c>
      <c r="U5" s="55">
        <f>SUMIF($B$2:$B$508,$Q$5,$M$2:$M$508)</f>
        <v>0</v>
      </c>
      <c r="V5" s="55">
        <f>SUMIF($B$2:$B$508,$Q$5,$N$2:$N$508)</f>
        <v>0</v>
      </c>
      <c r="W5" s="55">
        <f>SUMIF($B$2:$B$508,$Q$5,$O$2:$O$508)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SUMIF(EFEITO!$B$2:$B$508,$Q$5,EFEITO!$AE$2:$AE$508)</f>
        <v>0</v>
      </c>
      <c r="AB5" s="36">
        <f>SUMIF(EFEITO!$B$2:$B$508,$Q$5,EFEITO!$AF$2:$AF$508)</f>
        <v>0</v>
      </c>
      <c r="AC5" s="36">
        <f>SUMIF(EFEITO!$B$2:$B$508,$Q$5,EFEITO!$AG$2:$AH$508)</f>
        <v>0</v>
      </c>
      <c r="AD5" s="36">
        <f>SUMIF(SUBSIDIO!$B$2:$B$508,$Q$5,SUBSIDIO!$AD$2:$AD$508)</f>
        <v>0</v>
      </c>
      <c r="AE5" s="36">
        <f>SUMIF(SUBSIDIO!$B$2:$B$508,$Q$5,SUBSIDIO!$AE$2:$AE$508)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35</v>
      </c>
      <c r="C6" s="35" t="s">
        <v>54</v>
      </c>
      <c r="D6" s="35" t="s">
        <v>34</v>
      </c>
      <c r="E6" s="35" t="s">
        <v>25</v>
      </c>
      <c r="F6" s="35" t="s">
        <v>55</v>
      </c>
      <c r="G6" s="35" t="s">
        <v>25</v>
      </c>
      <c r="H6" s="35" t="s">
        <v>38</v>
      </c>
      <c r="I6" s="54">
        <v>44562</v>
      </c>
      <c r="J6" s="55">
        <f ca="1">EFEITO!$J$6*EFEITO!$Y$6</f>
        <v>2439.5023091939283</v>
      </c>
      <c r="K6" s="55">
        <f ca="1">EFEITO!$L$6*EFEITO!$Z$6</f>
        <v>0</v>
      </c>
      <c r="L6" s="55">
        <f>EFEITO!$N$6*EFEITO!$AA$6</f>
        <v>0</v>
      </c>
      <c r="M6" s="55">
        <f ca="1">$J$6-EFEITO!$K$6*EFEITO!$Y$6</f>
        <v>1219.7511545969642</v>
      </c>
      <c r="N6" s="55">
        <f ca="1">$K$6-EFEITO!$M$6*EFEITO!$Z$6</f>
        <v>0</v>
      </c>
      <c r="O6" s="55">
        <f>$L$6-EFEITO!$O$6*EFEITO!$AA$6</f>
        <v>0</v>
      </c>
      <c r="P6" s="39"/>
      <c r="Q6" s="55" t="s">
        <v>546</v>
      </c>
      <c r="R6" s="55">
        <f>SUMIF($B$2:$B$508,$Q$6,$J$2:$J$508)</f>
        <v>0</v>
      </c>
      <c r="S6" s="55">
        <f>SUMIF($B$2:$B$508,$Q$6,$K$2:$K$508)</f>
        <v>0</v>
      </c>
      <c r="T6" s="55">
        <f>SUMIF($B$2:$B$508,$Q$6,$L$2:$L$508)</f>
        <v>0</v>
      </c>
      <c r="U6" s="55">
        <f>SUMIF($B$2:$B$508,$Q$6,$M$2:$M$508)</f>
        <v>0</v>
      </c>
      <c r="V6" s="55">
        <f>SUMIF($B$2:$B$508,$Q$6,$N$2:$N$508)</f>
        <v>0</v>
      </c>
      <c r="W6" s="55">
        <f>SUMIF($B$2:$B$508,$Q$6,$O$2:$O$508)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SUMIF(EFEITO!$B$2:$B$508,$Q$6,EFEITO!$AE$2:$AE$508)</f>
        <v>0</v>
      </c>
      <c r="AB6" s="36">
        <f>SUMIF(EFEITO!$B$2:$B$508,$Q$6,EFEITO!$AF$2:$AF$508)</f>
        <v>0</v>
      </c>
      <c r="AC6" s="36">
        <f>SUMIF(EFEITO!$B$2:$B$508,$Q$6,EFEITO!$AG$2:$AH$508)</f>
        <v>0</v>
      </c>
      <c r="AD6" s="36">
        <f>SUMIF(SUBSIDIO!$B$2:$B$508,$Q$6,SUBSIDIO!$AD$2:$AD$508)</f>
        <v>0</v>
      </c>
      <c r="AE6" s="36">
        <f>SUMIF(SUBSIDIO!$B$2:$B$508,$Q$6,SUBSIDIO!$AE$2:$AE$508)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35</v>
      </c>
      <c r="C7" s="35" t="s">
        <v>54</v>
      </c>
      <c r="D7" s="35" t="s">
        <v>34</v>
      </c>
      <c r="E7" s="35" t="s">
        <v>25</v>
      </c>
      <c r="F7" s="35" t="s">
        <v>55</v>
      </c>
      <c r="G7" s="35" t="s">
        <v>25</v>
      </c>
      <c r="H7" s="35" t="s">
        <v>38</v>
      </c>
      <c r="I7" s="54">
        <v>44593</v>
      </c>
      <c r="J7" s="55">
        <f ca="1">EFEITO!$J$7*EFEITO!$Y$7</f>
        <v>2551.6633349039939</v>
      </c>
      <c r="K7" s="55">
        <f ca="1">EFEITO!$L$7*EFEITO!$Z$7</f>
        <v>0</v>
      </c>
      <c r="L7" s="55">
        <f>EFEITO!$N$7*EFEITO!$AA$7</f>
        <v>0</v>
      </c>
      <c r="M7" s="55">
        <f ca="1">$J$7-EFEITO!$K$7*EFEITO!$Y$7</f>
        <v>1275.831667451997</v>
      </c>
      <c r="N7" s="55">
        <f ca="1">$K$7-EFEITO!$M$7*EFEITO!$Z$7</f>
        <v>0</v>
      </c>
      <c r="O7" s="55">
        <f>$L$7-EFEITO!$O$7*EFEITO!$AA$7</f>
        <v>0</v>
      </c>
      <c r="P7" s="39"/>
      <c r="Q7" s="55" t="s">
        <v>35</v>
      </c>
      <c r="R7" s="55">
        <f ca="1">SUMIF($B$2:$B$508,$Q$7,$J$2:$J$508)</f>
        <v>3253231.2432127744</v>
      </c>
      <c r="S7" s="55">
        <f ca="1">SUMIF($B$2:$B$508,$Q$7,$K$2:$K$508)</f>
        <v>3563787.1424723137</v>
      </c>
      <c r="T7" s="55">
        <f>SUMIF($B$2:$B$508,$Q$7,$L$2:$L$508)</f>
        <v>2962706.0290493341</v>
      </c>
      <c r="U7" s="55">
        <f ca="1">SUMIF($B$2:$B$508,$Q$7,$M$2:$M$508)</f>
        <v>211032.99853503384</v>
      </c>
      <c r="V7" s="55">
        <f ca="1">SUMIF($B$2:$B$508,$Q$7,$N$2:$N$508)</f>
        <v>546093.07120029884</v>
      </c>
      <c r="W7" s="55">
        <f>SUMIF($B$2:$B$508,$Q$7,$O$2:$O$508)</f>
        <v>351996.34691769589</v>
      </c>
      <c r="X7" s="36">
        <f ca="1">$R$7-$U$7</f>
        <v>3042198.2446777406</v>
      </c>
      <c r="Y7" s="36">
        <f ca="1">$S$7-$V$7</f>
        <v>3017694.0712720146</v>
      </c>
      <c r="Z7" s="36">
        <f>$T$7-$W$7</f>
        <v>2610709.6821316383</v>
      </c>
      <c r="AA7" s="36">
        <f ca="1">SUMIF(EFEITO!$B$2:$B$508,$Q$7,EFEITO!$AE$2:$AE$508)</f>
        <v>3042198.2446777397</v>
      </c>
      <c r="AB7" s="36">
        <f ca="1">SUMIF(EFEITO!$B$2:$B$508,$Q$7,EFEITO!$AF$2:$AF$508)</f>
        <v>3017694.0712720151</v>
      </c>
      <c r="AC7" s="36">
        <f>SUMIF(EFEITO!$B$2:$B$508,$Q$7,EFEITO!$AG$2:$AH$508)</f>
        <v>2610709.6821316378</v>
      </c>
      <c r="AD7" s="36">
        <f ca="1">SUMIF(SUBSIDIO!$B$2:$B$508,$Q$7,SUBSIDIO!$AD$2:$AD$508)</f>
        <v>211032.99853503381</v>
      </c>
      <c r="AE7" s="36">
        <f ca="1">SUMIF(SUBSIDIO!$B$2:$B$508,$Q$7,SUBSIDIO!$AE$2:$AE$508)</f>
        <v>898089.41811799456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35</v>
      </c>
      <c r="C8" s="35" t="s">
        <v>54</v>
      </c>
      <c r="D8" s="35" t="s">
        <v>34</v>
      </c>
      <c r="E8" s="35" t="s">
        <v>25</v>
      </c>
      <c r="F8" s="35" t="s">
        <v>55</v>
      </c>
      <c r="G8" s="35" t="s">
        <v>25</v>
      </c>
      <c r="H8" s="35" t="s">
        <v>38</v>
      </c>
      <c r="I8" s="54">
        <v>44621</v>
      </c>
      <c r="J8" s="55">
        <f ca="1">EFEITO!$J$8*EFEITO!$Y$8</f>
        <v>2551.6633349039939</v>
      </c>
      <c r="K8" s="55">
        <f ca="1">EFEITO!$L$8*EFEITO!$Z$8</f>
        <v>0</v>
      </c>
      <c r="L8" s="55">
        <f>EFEITO!$N$8*EFEITO!$AA$8</f>
        <v>0</v>
      </c>
      <c r="M8" s="55">
        <f ca="1">$J$8-EFEITO!$K$8*EFEITO!$Y$8</f>
        <v>1275.831667451997</v>
      </c>
      <c r="N8" s="55">
        <f ca="1">$K$8-EFEITO!$M$8*EFEITO!$Z$8</f>
        <v>0</v>
      </c>
      <c r="O8" s="55">
        <f>$L$8-EFEITO!$O$8*EFEITO!$AA$8</f>
        <v>0</v>
      </c>
      <c r="P8" s="39"/>
      <c r="Q8" s="55" t="s">
        <v>547</v>
      </c>
      <c r="R8" s="55">
        <f>SUMIF($B$2:$B$508,$Q$8,$J$2:$J$508)</f>
        <v>0</v>
      </c>
      <c r="S8" s="55">
        <f>SUMIF($B$2:$B$508,$Q$8,$K$2:$K$508)</f>
        <v>0</v>
      </c>
      <c r="T8" s="55">
        <f>SUMIF($B$2:$B$508,$Q$8,$L$2:$L$508)</f>
        <v>0</v>
      </c>
      <c r="U8" s="55">
        <f>SUMIF($B$2:$B$508,$Q$8,$M$2:$M$508)</f>
        <v>0</v>
      </c>
      <c r="V8" s="55">
        <f>SUMIF($B$2:$B$508,$Q$8,$N$2:$N$508)</f>
        <v>0</v>
      </c>
      <c r="W8" s="55">
        <f>SUMIF($B$2:$B$508,$Q$8,$O$2:$O$508)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SUMIF(EFEITO!$B$2:$B$508,$Q$8,EFEITO!$AE$2:$AE$508)</f>
        <v>0</v>
      </c>
      <c r="AB8" s="36">
        <f>SUMIF(EFEITO!$B$2:$B$508,$Q$8,EFEITO!$AF$2:$AF$508)</f>
        <v>0</v>
      </c>
      <c r="AC8" s="36">
        <f>SUMIF(EFEITO!$B$2:$B$508,$Q$8,EFEITO!$AG$2:$AH$508)</f>
        <v>0</v>
      </c>
      <c r="AD8" s="36">
        <f>SUMIF(SUBSIDIO!$B$2:$B$508,$Q$8,SUBSIDIO!$AD$2:$AD$508)</f>
        <v>0</v>
      </c>
      <c r="AE8" s="36">
        <f>SUMIF(SUBSIDIO!$B$2:$B$508,$Q$8,SUBSIDIO!$AE$2:$AE$508)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35</v>
      </c>
      <c r="C9" s="35" t="s">
        <v>54</v>
      </c>
      <c r="D9" s="35" t="s">
        <v>34</v>
      </c>
      <c r="E9" s="35" t="s">
        <v>25</v>
      </c>
      <c r="F9" s="35" t="s">
        <v>55</v>
      </c>
      <c r="G9" s="35" t="s">
        <v>25</v>
      </c>
      <c r="H9" s="35" t="s">
        <v>38</v>
      </c>
      <c r="I9" s="54">
        <v>44652</v>
      </c>
      <c r="J9" s="55">
        <f ca="1">EFEITO!$J$9*EFEITO!$Y$9</f>
        <v>2579.7035913315103</v>
      </c>
      <c r="K9" s="55">
        <f ca="1">EFEITO!$L$9*EFEITO!$Z$9</f>
        <v>0</v>
      </c>
      <c r="L9" s="55">
        <f>EFEITO!$N$9*EFEITO!$AA$9</f>
        <v>0</v>
      </c>
      <c r="M9" s="55">
        <f ca="1">$J$9-EFEITO!$K$9*EFEITO!$Y$9</f>
        <v>1289.8517956657552</v>
      </c>
      <c r="N9" s="55">
        <f ca="1">$K$9-EFEITO!$M$9*EFEITO!$Z$9</f>
        <v>0</v>
      </c>
      <c r="O9" s="55">
        <f>$L$9-EFEITO!$O$9*EFEITO!$AA$9</f>
        <v>0</v>
      </c>
      <c r="P9" s="39"/>
      <c r="Q9" s="55" t="s">
        <v>22</v>
      </c>
      <c r="R9" s="55">
        <f>SUMIF($B$2:$B$508,$Q$9,$J$2:$J$508)</f>
        <v>0</v>
      </c>
      <c r="S9" s="55">
        <f ca="1">SUMIF($B$2:$B$508,$Q$9,$K$2:$K$508)</f>
        <v>3120851.4132486214</v>
      </c>
      <c r="T9" s="55">
        <f>SUMIF($B$2:$B$508,$Q$9,$L$2:$L$508)</f>
        <v>1340436.2477317934</v>
      </c>
      <c r="U9" s="55">
        <f>SUMIF($B$2:$B$508,$Q$9,$M$2:$M$508)</f>
        <v>0</v>
      </c>
      <c r="V9" s="55">
        <f ca="1">SUMIF($B$2:$B$508,$Q$9,$N$2:$N$508)</f>
        <v>38869.908846452672</v>
      </c>
      <c r="W9" s="55">
        <f>SUMIF($B$2:$B$508,$Q$9,$O$2:$O$508)</f>
        <v>21960.352374054732</v>
      </c>
      <c r="X9" s="36">
        <f>$R$9-$U$9</f>
        <v>0</v>
      </c>
      <c r="Y9" s="36">
        <f ca="1">$S$9-$V$9</f>
        <v>3081981.5044021686</v>
      </c>
      <c r="Z9" s="36">
        <f>$T$9-$W$9</f>
        <v>1318475.8953577387</v>
      </c>
      <c r="AA9" s="36">
        <f>SUMIF(EFEITO!$B$2:$B$508,$Q$9,EFEITO!$AE$2:$AE$508)</f>
        <v>0</v>
      </c>
      <c r="AB9" s="36">
        <f ca="1">SUMIF(EFEITO!$B$2:$B$508,$Q$9,EFEITO!$AF$2:$AF$508)</f>
        <v>3081981.5044021681</v>
      </c>
      <c r="AC9" s="36">
        <f>SUMIF(EFEITO!$B$2:$B$508,$Q$9,EFEITO!$AG$2:$AH$508)</f>
        <v>1318475.8953577385</v>
      </c>
      <c r="AD9" s="36">
        <f>SUMIF(SUBSIDIO!$B$2:$B$508,$Q$9,SUBSIDIO!$AD$2:$AD$508)</f>
        <v>0</v>
      </c>
      <c r="AE9" s="36">
        <f ca="1">SUMIF(SUBSIDIO!$B$2:$B$508,$Q$9,SUBSIDIO!$AE$2:$AE$508)</f>
        <v>60830.261220507397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35</v>
      </c>
      <c r="C10" s="35" t="s">
        <v>54</v>
      </c>
      <c r="D10" s="35" t="s">
        <v>34</v>
      </c>
      <c r="E10" s="35" t="s">
        <v>25</v>
      </c>
      <c r="F10" s="35" t="s">
        <v>55</v>
      </c>
      <c r="G10" s="35" t="s">
        <v>25</v>
      </c>
      <c r="H10" s="35" t="s">
        <v>38</v>
      </c>
      <c r="I10" s="54">
        <v>44682</v>
      </c>
      <c r="J10" s="55">
        <f ca="1">EFEITO!$J$10*EFEITO!$Y$10</f>
        <v>2439.5023091939283</v>
      </c>
      <c r="K10" s="55">
        <f ca="1">EFEITO!$L$10*EFEITO!$Z$10</f>
        <v>0</v>
      </c>
      <c r="L10" s="55">
        <f>EFEITO!$N$10*EFEITO!$AA$10</f>
        <v>0</v>
      </c>
      <c r="M10" s="55">
        <f ca="1">$J$10-EFEITO!$K$10*EFEITO!$Y$10</f>
        <v>1219.7511545969642</v>
      </c>
      <c r="N10" s="55">
        <f ca="1">$K$10-EFEITO!$M$10*EFEITO!$Z$10</f>
        <v>0</v>
      </c>
      <c r="O10" s="55">
        <f>$L$10-EFEITO!$O$10*EFEITO!$AA$10</f>
        <v>0</v>
      </c>
      <c r="P10" s="39"/>
      <c r="Q10" s="55" t="s">
        <v>40</v>
      </c>
      <c r="R10" s="55">
        <f>SUMIF($B$2:$B$508,$Q$10,$J$2:$J$508)</f>
        <v>0</v>
      </c>
      <c r="S10" s="55">
        <f ca="1">SUMIF($B$2:$B$508,$Q$10,$K$2:$K$508)</f>
        <v>2217243.1518146191</v>
      </c>
      <c r="T10" s="55">
        <f>SUMIF($B$2:$B$508,$Q$10,$L$2:$L$508)</f>
        <v>939489.11849472357</v>
      </c>
      <c r="U10" s="55">
        <f>SUMIF($B$2:$B$508,$Q$10,$M$2:$M$508)</f>
        <v>0</v>
      </c>
      <c r="V10" s="55">
        <f ca="1">SUMIF($B$2:$B$508,$Q$10,$N$2:$N$508)</f>
        <v>295397.21166380733</v>
      </c>
      <c r="W10" s="55">
        <f>SUMIF($B$2:$B$508,$Q$10,$O$2:$O$508)</f>
        <v>125165.55334253774</v>
      </c>
      <c r="X10" s="36">
        <f>$R$10-$U$10</f>
        <v>0</v>
      </c>
      <c r="Y10" s="36">
        <f ca="1">$S$10-$V$10</f>
        <v>1921845.9401508118</v>
      </c>
      <c r="Z10" s="36">
        <f>$T$10-$W$10</f>
        <v>814323.56515218585</v>
      </c>
      <c r="AA10" s="36">
        <f>SUMIF(EFEITO!$B$2:$B$508,$Q$10,EFEITO!$AE$2:$AE$508)</f>
        <v>0</v>
      </c>
      <c r="AB10" s="36">
        <f ca="1">SUMIF(EFEITO!$B$2:$B$508,$Q$10,EFEITO!$AF$2:$AF$508)</f>
        <v>1921845.9401508127</v>
      </c>
      <c r="AC10" s="36">
        <f>SUMIF(EFEITO!$B$2:$B$508,$Q$10,EFEITO!$AG$2:$AH$508)</f>
        <v>814323.5651521855</v>
      </c>
      <c r="AD10" s="36">
        <f>SUMIF(SUBSIDIO!$B$2:$B$508,$Q$10,SUBSIDIO!$AD$2:$AD$508)</f>
        <v>0</v>
      </c>
      <c r="AE10" s="36">
        <f ca="1">SUMIF(SUBSIDIO!$B$2:$B$508,$Q$10,SUBSIDIO!$AE$2:$AE$508)</f>
        <v>420562.76500634529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35</v>
      </c>
      <c r="C11" s="35" t="s">
        <v>54</v>
      </c>
      <c r="D11" s="35" t="s">
        <v>34</v>
      </c>
      <c r="E11" s="35" t="s">
        <v>25</v>
      </c>
      <c r="F11" s="35" t="s">
        <v>55</v>
      </c>
      <c r="G11" s="35" t="s">
        <v>25</v>
      </c>
      <c r="H11" s="35" t="s">
        <v>38</v>
      </c>
      <c r="I11" s="54">
        <v>44713</v>
      </c>
      <c r="J11" s="55">
        <f ca="1">EFEITO!$J$11*EFEITO!$Y$11</f>
        <v>2635.7841041865431</v>
      </c>
      <c r="K11" s="55">
        <f ca="1">EFEITO!$L$11*EFEITO!$Z$11</f>
        <v>0</v>
      </c>
      <c r="L11" s="55">
        <f>EFEITO!$N$11*EFEITO!$AA$11</f>
        <v>0</v>
      </c>
      <c r="M11" s="55">
        <f ca="1">$J$11-EFEITO!$K$11*EFEITO!$Y$11</f>
        <v>1317.8920520932716</v>
      </c>
      <c r="N11" s="55">
        <f ca="1">$K$11-EFEITO!$M$11*EFEITO!$Z$11</f>
        <v>0</v>
      </c>
      <c r="O11" s="55">
        <f>$L$11-EFEITO!$O$11*EFEITO!$AA$11</f>
        <v>0</v>
      </c>
      <c r="P11" s="39"/>
      <c r="Q11" s="55" t="s">
        <v>33</v>
      </c>
      <c r="R11" s="55">
        <f>SUMIF($B$2:$B$508,$Q$11,$J$2:$J$508)</f>
        <v>0</v>
      </c>
      <c r="S11" s="55">
        <f ca="1">SUMIF($B$2:$B$508,$Q$11,$K$2:$K$508)</f>
        <v>963838.94496741472</v>
      </c>
      <c r="T11" s="55">
        <f>SUMIF($B$2:$B$508,$Q$11,$L$2:$L$508)</f>
        <v>408397.33794520237</v>
      </c>
      <c r="U11" s="55">
        <f>SUMIF($B$2:$B$508,$Q$11,$M$2:$M$508)</f>
        <v>0</v>
      </c>
      <c r="V11" s="55">
        <f ca="1">SUMIF($B$2:$B$508,$Q$11,$N$2:$N$508)</f>
        <v>2618.7113219823195</v>
      </c>
      <c r="W11" s="55">
        <f>SUMIF($B$2:$B$508,$Q$11,$O$2:$O$508)</f>
        <v>1109.5990033694889</v>
      </c>
      <c r="X11" s="36">
        <f>$R$11-$U$11</f>
        <v>0</v>
      </c>
      <c r="Y11" s="36">
        <f ca="1">$S$11-$V$11</f>
        <v>961220.2336454324</v>
      </c>
      <c r="Z11" s="36">
        <f>$T$11-$W$11</f>
        <v>407287.73894183285</v>
      </c>
      <c r="AA11" s="36">
        <f>SUMIF(EFEITO!$B$2:$B$508,$Q$11,EFEITO!$AE$2:$AE$508)</f>
        <v>0</v>
      </c>
      <c r="AB11" s="36">
        <f ca="1">SUMIF(EFEITO!$B$2:$B$508,$Q$11,EFEITO!$AF$2:$AF$508)</f>
        <v>961220.23364543228</v>
      </c>
      <c r="AC11" s="36">
        <f>SUMIF(EFEITO!$B$2:$B$508,$Q$11,EFEITO!$AG$2:$AH$508)</f>
        <v>407287.73894183291</v>
      </c>
      <c r="AD11" s="36">
        <f>SUMIF(SUBSIDIO!$B$2:$B$508,$Q$11,SUBSIDIO!$AD$2:$AD$508)</f>
        <v>0</v>
      </c>
      <c r="AE11" s="36">
        <f ca="1">SUMIF(SUBSIDIO!$B$2:$B$508,$Q$11,SUBSIDIO!$AE$2:$AE$508)</f>
        <v>3728.3103253518061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35</v>
      </c>
      <c r="C12" s="35" t="s">
        <v>54</v>
      </c>
      <c r="D12" s="35" t="s">
        <v>34</v>
      </c>
      <c r="E12" s="35" t="s">
        <v>25</v>
      </c>
      <c r="F12" s="35" t="s">
        <v>55</v>
      </c>
      <c r="G12" s="35" t="s">
        <v>25</v>
      </c>
      <c r="H12" s="35" t="s">
        <v>38</v>
      </c>
      <c r="I12" s="54">
        <v>44743</v>
      </c>
      <c r="J12" s="55">
        <f ca="1">EFEITO!$J$12*EFEITO!$Y$12</f>
        <v>2775.9853863241256</v>
      </c>
      <c r="K12" s="55">
        <f ca="1">EFEITO!$L$12*EFEITO!$Z$12</f>
        <v>0</v>
      </c>
      <c r="L12" s="55">
        <f>EFEITO!$N$12*EFEITO!$AA$12</f>
        <v>0</v>
      </c>
      <c r="M12" s="55">
        <f ca="1">$J$12-EFEITO!$K$12*EFEITO!$Y$12</f>
        <v>1387.9926931620628</v>
      </c>
      <c r="N12" s="55">
        <f ca="1">$K$12-EFEITO!$M$12*EFEITO!$Z$12</f>
        <v>0</v>
      </c>
      <c r="O12" s="55">
        <f>$L$12-EFEITO!$O$12*EFEITO!$AA$12</f>
        <v>0</v>
      </c>
      <c r="P12" s="39"/>
      <c r="Q12" s="55" t="s">
        <v>43</v>
      </c>
      <c r="R12" s="55">
        <f>SUMIF($B$2:$B$508,$Q$12,$J$2:$J$508)</f>
        <v>0</v>
      </c>
      <c r="S12" s="55">
        <f ca="1">SUMIF($B$2:$B$508,$Q$12,$K$2:$K$508)</f>
        <v>195877.70068655771</v>
      </c>
      <c r="T12" s="55">
        <f>SUMIF($B$2:$B$508,$Q$12,$L$2:$L$508)</f>
        <v>82997.197758928276</v>
      </c>
      <c r="U12" s="55">
        <f>SUMIF($B$2:$B$508,$Q$12,$M$2:$M$508)</f>
        <v>0</v>
      </c>
      <c r="V12" s="55">
        <f ca="1">SUMIF($B$2:$B$508,$Q$12,$N$2:$N$508)</f>
        <v>0</v>
      </c>
      <c r="W12" s="55">
        <f>SUMIF($B$2:$B$508,$Q$12,$O$2:$O$508)</f>
        <v>0</v>
      </c>
      <c r="X12" s="36">
        <f>$R$12-$U$12</f>
        <v>0</v>
      </c>
      <c r="Y12" s="36">
        <f ca="1">$S$12-$V$12</f>
        <v>195877.70068655771</v>
      </c>
      <c r="Z12" s="36">
        <f>$T$12-$W$12</f>
        <v>82997.197758928276</v>
      </c>
      <c r="AA12" s="36">
        <f>SUMIF(EFEITO!$B$2:$B$508,$Q$12,EFEITO!$AE$2:$AE$508)</f>
        <v>0</v>
      </c>
      <c r="AB12" s="36">
        <f ca="1">SUMIF(EFEITO!$B$2:$B$508,$Q$12,EFEITO!$AF$2:$AF$508)</f>
        <v>195877.70068655771</v>
      </c>
      <c r="AC12" s="36">
        <f>SUMIF(EFEITO!$B$2:$B$508,$Q$12,EFEITO!$AG$2:$AH$508)</f>
        <v>82997.197758928276</v>
      </c>
      <c r="AD12" s="36">
        <f>SUMIF(SUBSIDIO!$B$2:$B$508,$Q$12,SUBSIDIO!$AD$2:$AD$508)</f>
        <v>0</v>
      </c>
      <c r="AE12" s="36">
        <f>SUMIF(SUBSIDIO!$B$2:$B$508,$Q$12,SUBSIDIO!$AE$2:$AE$508)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35</v>
      </c>
      <c r="C13" s="35" t="s">
        <v>54</v>
      </c>
      <c r="D13" s="35" t="s">
        <v>34</v>
      </c>
      <c r="E13" s="35" t="s">
        <v>25</v>
      </c>
      <c r="F13" s="35" t="s">
        <v>55</v>
      </c>
      <c r="G13" s="35" t="s">
        <v>25</v>
      </c>
      <c r="H13" s="35" t="s">
        <v>38</v>
      </c>
      <c r="I13" s="54">
        <v>44774</v>
      </c>
      <c r="J13" s="55">
        <f ca="1">EFEITO!$J$13*EFEITO!$Y$13</f>
        <v>2439.5023091939283</v>
      </c>
      <c r="K13" s="55">
        <f ca="1">EFEITO!$L$13*EFEITO!$Z$13</f>
        <v>0</v>
      </c>
      <c r="L13" s="55">
        <f>EFEITO!$N$13*EFEITO!$AA$13</f>
        <v>0</v>
      </c>
      <c r="M13" s="55">
        <f ca="1">$J$13-EFEITO!$K$13*EFEITO!$Y$13</f>
        <v>1219.7511545969642</v>
      </c>
      <c r="N13" s="55">
        <f ca="1">$K$13-EFEITO!$M$13*EFEITO!$Z$13</f>
        <v>0</v>
      </c>
      <c r="O13" s="55">
        <f>$L$13-EFEITO!$O$13*EFEITO!$AA$13</f>
        <v>0</v>
      </c>
      <c r="P13" s="39"/>
      <c r="Q13" s="55" t="s">
        <v>82</v>
      </c>
      <c r="R13" s="55">
        <f>SUMIF($B$2:$B$508,$Q$13,$J$2:$J$508)</f>
        <v>0</v>
      </c>
      <c r="S13" s="55">
        <f>SUMIF($B$2:$B$508,$Q$13,$K$2:$K$508)</f>
        <v>0</v>
      </c>
      <c r="T13" s="55">
        <f>SUMIF($B$2:$B$508,$Q$13,$L$2:$L$508)</f>
        <v>0</v>
      </c>
      <c r="U13" s="55">
        <f>SUMIF($B$2:$B$508,$Q$13,$M$2:$M$508)</f>
        <v>0</v>
      </c>
      <c r="V13" s="55">
        <f>SUMIF($B$2:$B$508,$Q$13,$N$2:$N$508)</f>
        <v>0</v>
      </c>
      <c r="W13" s="55">
        <f>SUMIF($B$2:$B$508,$Q$13,$O$2:$O$508)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SUMIF(EFEITO!$B$2:$B$508,$Q$13,EFEITO!$AE$2:$AE$508)</f>
        <v>0</v>
      </c>
      <c r="AB13" s="36">
        <f>SUMIF(EFEITO!$B$2:$B$508,$Q$13,EFEITO!$AF$2:$AF$508)</f>
        <v>0</v>
      </c>
      <c r="AC13" s="36">
        <f>SUMIF(EFEITO!$B$2:$B$508,$Q$13,EFEITO!$AG$2:$AH$508)</f>
        <v>0</v>
      </c>
      <c r="AD13" s="36">
        <f>SUMIF(SUBSIDIO!$B$2:$B$508,$Q$13,SUBSIDIO!$AD$2:$AD$508)</f>
        <v>0</v>
      </c>
      <c r="AE13" s="36">
        <f>SUMIF(SUBSIDIO!$B$2:$B$508,$Q$13,SUBSIDIO!$AE$2:$AE$508)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35</v>
      </c>
      <c r="C14" s="35" t="s">
        <v>54</v>
      </c>
      <c r="D14" s="35" t="s">
        <v>34</v>
      </c>
      <c r="E14" s="35" t="s">
        <v>25</v>
      </c>
      <c r="F14" s="35" t="s">
        <v>55</v>
      </c>
      <c r="G14" s="35" t="s">
        <v>25</v>
      </c>
      <c r="H14" s="35" t="s">
        <v>25</v>
      </c>
      <c r="I14" s="54">
        <v>44440</v>
      </c>
      <c r="J14" s="55">
        <f>EFEITO!$J$14*EFEITO!$Y$14</f>
        <v>0</v>
      </c>
      <c r="K14" s="55">
        <f ca="1">EFEITO!$L$14*EFEITO!$Z$14</f>
        <v>4551.9887079118298</v>
      </c>
      <c r="L14" s="55">
        <f>EFEITO!$N$14*EFEITO!$AA$14</f>
        <v>0</v>
      </c>
      <c r="M14" s="55">
        <f>$J$14-EFEITO!$K$14*EFEITO!$Y$14</f>
        <v>0</v>
      </c>
      <c r="N14" s="55">
        <f ca="1">$K$14-EFEITO!$M$14*EFEITO!$Z$14</f>
        <v>0</v>
      </c>
      <c r="O14" s="55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5" t="s">
        <v>21</v>
      </c>
      <c r="B15" s="35" t="s">
        <v>35</v>
      </c>
      <c r="C15" s="35" t="s">
        <v>54</v>
      </c>
      <c r="D15" s="35" t="s">
        <v>34</v>
      </c>
      <c r="E15" s="35" t="s">
        <v>25</v>
      </c>
      <c r="F15" s="35" t="s">
        <v>55</v>
      </c>
      <c r="G15" s="35" t="s">
        <v>25</v>
      </c>
      <c r="H15" s="35" t="s">
        <v>25</v>
      </c>
      <c r="I15" s="54">
        <v>44470</v>
      </c>
      <c r="J15" s="55">
        <f>EFEITO!$J$15*EFEITO!$Y$15</f>
        <v>0</v>
      </c>
      <c r="K15" s="55">
        <f ca="1">EFEITO!$L$15*EFEITO!$Z$15</f>
        <v>4686.8869278215652</v>
      </c>
      <c r="L15" s="55">
        <f>EFEITO!$N$15*EFEITO!$AA$15</f>
        <v>0</v>
      </c>
      <c r="M15" s="55">
        <f>$J$15-EFEITO!$K$15*EFEITO!$Y$15</f>
        <v>0</v>
      </c>
      <c r="N15" s="55">
        <f ca="1">$K$15-EFEITO!$M$15*EFEITO!$Z$15</f>
        <v>0</v>
      </c>
      <c r="O15" s="55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5" t="s">
        <v>21</v>
      </c>
      <c r="B16" s="35" t="s">
        <v>35</v>
      </c>
      <c r="C16" s="35" t="s">
        <v>54</v>
      </c>
      <c r="D16" s="35" t="s">
        <v>34</v>
      </c>
      <c r="E16" s="35" t="s">
        <v>25</v>
      </c>
      <c r="F16" s="35" t="s">
        <v>55</v>
      </c>
      <c r="G16" s="35" t="s">
        <v>25</v>
      </c>
      <c r="H16" s="35" t="s">
        <v>25</v>
      </c>
      <c r="I16" s="54">
        <v>44501</v>
      </c>
      <c r="J16" s="55">
        <f>EFEITO!$J$16*EFEITO!$Y$16</f>
        <v>0</v>
      </c>
      <c r="K16" s="55">
        <f ca="1">EFEITO!$L$16*EFEITO!$Z$16</f>
        <v>4710.521656773828</v>
      </c>
      <c r="L16" s="55">
        <f>EFEITO!$N$16*EFEITO!$AA$16</f>
        <v>0</v>
      </c>
      <c r="M16" s="55">
        <f>$J$16-EFEITO!$K$16*EFEITO!$Y$16</f>
        <v>0</v>
      </c>
      <c r="N16" s="55">
        <f ca="1">$K$16-EFEITO!$M$16*EFEITO!$Z$16</f>
        <v>0</v>
      </c>
      <c r="O16" s="55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5" t="s">
        <v>21</v>
      </c>
      <c r="B17" s="35" t="s">
        <v>35</v>
      </c>
      <c r="C17" s="35" t="s">
        <v>54</v>
      </c>
      <c r="D17" s="35" t="s">
        <v>34</v>
      </c>
      <c r="E17" s="35" t="s">
        <v>25</v>
      </c>
      <c r="F17" s="35" t="s">
        <v>55</v>
      </c>
      <c r="G17" s="35" t="s">
        <v>25</v>
      </c>
      <c r="H17" s="35" t="s">
        <v>25</v>
      </c>
      <c r="I17" s="54">
        <v>44531</v>
      </c>
      <c r="J17" s="55">
        <f>EFEITO!$J$17*EFEITO!$Y$17</f>
        <v>0</v>
      </c>
      <c r="K17" s="55">
        <f ca="1">EFEITO!$L$17*EFEITO!$Z$17</f>
        <v>4852.6304719571363</v>
      </c>
      <c r="L17" s="55">
        <f>EFEITO!$N$17*EFEITO!$AA$17</f>
        <v>0</v>
      </c>
      <c r="M17" s="55">
        <f>$J$17-EFEITO!$K$17*EFEITO!$Y$17</f>
        <v>0</v>
      </c>
      <c r="N17" s="55">
        <f ca="1">$K$17-EFEITO!$M$17*EFEITO!$Z$17</f>
        <v>0</v>
      </c>
      <c r="O17" s="55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5" t="s">
        <v>21</v>
      </c>
      <c r="B18" s="35" t="s">
        <v>35</v>
      </c>
      <c r="C18" s="35" t="s">
        <v>54</v>
      </c>
      <c r="D18" s="35" t="s">
        <v>34</v>
      </c>
      <c r="E18" s="35" t="s">
        <v>25</v>
      </c>
      <c r="F18" s="35" t="s">
        <v>55</v>
      </c>
      <c r="G18" s="35" t="s">
        <v>25</v>
      </c>
      <c r="H18" s="35" t="s">
        <v>25</v>
      </c>
      <c r="I18" s="54">
        <v>44562</v>
      </c>
      <c r="J18" s="55">
        <f>EFEITO!$J$18*EFEITO!$Y$18</f>
        <v>0</v>
      </c>
      <c r="K18" s="55">
        <f ca="1">EFEITO!$L$18*EFEITO!$Z$18</f>
        <v>4688.7897237965362</v>
      </c>
      <c r="L18" s="55">
        <f>EFEITO!$N$18*EFEITO!$AA$18</f>
        <v>0</v>
      </c>
      <c r="M18" s="55">
        <f>$J$18-EFEITO!$K$18*EFEITO!$Y$18</f>
        <v>0</v>
      </c>
      <c r="N18" s="55">
        <f ca="1">$K$18-EFEITO!$M$18*EFEITO!$Z$18</f>
        <v>0</v>
      </c>
      <c r="O18" s="55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5" t="s">
        <v>21</v>
      </c>
      <c r="B19" s="35" t="s">
        <v>35</v>
      </c>
      <c r="C19" s="35" t="s">
        <v>54</v>
      </c>
      <c r="D19" s="35" t="s">
        <v>34</v>
      </c>
      <c r="E19" s="35" t="s">
        <v>25</v>
      </c>
      <c r="F19" s="35" t="s">
        <v>55</v>
      </c>
      <c r="G19" s="35" t="s">
        <v>25</v>
      </c>
      <c r="H19" s="35" t="s">
        <v>25</v>
      </c>
      <c r="I19" s="54">
        <v>44593</v>
      </c>
      <c r="J19" s="55">
        <f>EFEITO!$J$19*EFEITO!$Y$19</f>
        <v>0</v>
      </c>
      <c r="K19" s="55">
        <f ca="1">EFEITO!$L$19*EFEITO!$Z$19</f>
        <v>4243.9360542797967</v>
      </c>
      <c r="L19" s="55">
        <f>EFEITO!$N$19*EFEITO!$AA$19</f>
        <v>0</v>
      </c>
      <c r="M19" s="55">
        <f>$J$19-EFEITO!$K$19*EFEITO!$Y$19</f>
        <v>0</v>
      </c>
      <c r="N19" s="55">
        <f ca="1">$K$19-EFEITO!$M$19*EFEITO!$Z$19</f>
        <v>0</v>
      </c>
      <c r="O19" s="55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5" t="s">
        <v>21</v>
      </c>
      <c r="B20" s="35" t="s">
        <v>35</v>
      </c>
      <c r="C20" s="35" t="s">
        <v>54</v>
      </c>
      <c r="D20" s="35" t="s">
        <v>34</v>
      </c>
      <c r="E20" s="35" t="s">
        <v>25</v>
      </c>
      <c r="F20" s="35" t="s">
        <v>55</v>
      </c>
      <c r="G20" s="35" t="s">
        <v>25</v>
      </c>
      <c r="H20" s="35" t="s">
        <v>25</v>
      </c>
      <c r="I20" s="54">
        <v>44621</v>
      </c>
      <c r="J20" s="55">
        <f>EFEITO!$J$20*EFEITO!$Y$20</f>
        <v>0</v>
      </c>
      <c r="K20" s="55">
        <f ca="1">EFEITO!$L$20*EFEITO!$Z$20</f>
        <v>4945.9676218872582</v>
      </c>
      <c r="L20" s="55">
        <f>EFEITO!$N$20*EFEITO!$AA$20</f>
        <v>0</v>
      </c>
      <c r="M20" s="55">
        <f>$J$20-EFEITO!$K$20*EFEITO!$Y$20</f>
        <v>0</v>
      </c>
      <c r="N20" s="55">
        <f ca="1">$K$20-EFEITO!$M$20*EFEITO!$Z$20</f>
        <v>0</v>
      </c>
      <c r="O20" s="55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5" t="s">
        <v>21</v>
      </c>
      <c r="B21" s="35" t="s">
        <v>35</v>
      </c>
      <c r="C21" s="35" t="s">
        <v>54</v>
      </c>
      <c r="D21" s="35" t="s">
        <v>34</v>
      </c>
      <c r="E21" s="35" t="s">
        <v>25</v>
      </c>
      <c r="F21" s="35" t="s">
        <v>55</v>
      </c>
      <c r="G21" s="35" t="s">
        <v>25</v>
      </c>
      <c r="H21" s="35" t="s">
        <v>25</v>
      </c>
      <c r="I21" s="54">
        <v>44652</v>
      </c>
      <c r="J21" s="55">
        <f>EFEITO!$J$21*EFEITO!$Y$21</f>
        <v>0</v>
      </c>
      <c r="K21" s="55">
        <f ca="1">EFEITO!$L$21*EFEITO!$Z$21</f>
        <v>4778.2211346201402</v>
      </c>
      <c r="L21" s="55">
        <f>EFEITO!$N$21*EFEITO!$AA$21</f>
        <v>0</v>
      </c>
      <c r="M21" s="55">
        <f>$J$21-EFEITO!$K$21*EFEITO!$Y$21</f>
        <v>0</v>
      </c>
      <c r="N21" s="55">
        <f ca="1">$K$21-EFEITO!$M$21*EFEITO!$Z$21</f>
        <v>0</v>
      </c>
      <c r="O21" s="55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5" t="s">
        <v>21</v>
      </c>
      <c r="B22" s="35" t="s">
        <v>35</v>
      </c>
      <c r="C22" s="35" t="s">
        <v>54</v>
      </c>
      <c r="D22" s="35" t="s">
        <v>34</v>
      </c>
      <c r="E22" s="35" t="s">
        <v>25</v>
      </c>
      <c r="F22" s="35" t="s">
        <v>55</v>
      </c>
      <c r="G22" s="35" t="s">
        <v>25</v>
      </c>
      <c r="H22" s="35" t="s">
        <v>25</v>
      </c>
      <c r="I22" s="54">
        <v>44682</v>
      </c>
      <c r="J22" s="55">
        <f>EFEITO!$J$22*EFEITO!$Y$22</f>
        <v>0</v>
      </c>
      <c r="K22" s="55">
        <f ca="1">EFEITO!$L$22*EFEITO!$Z$22</f>
        <v>4741.2668338430858</v>
      </c>
      <c r="L22" s="55">
        <f>EFEITO!$N$22*EFEITO!$AA$22</f>
        <v>0</v>
      </c>
      <c r="M22" s="55">
        <f>$J$22-EFEITO!$K$22*EFEITO!$Y$22</f>
        <v>0</v>
      </c>
      <c r="N22" s="55">
        <f ca="1">$K$22-EFEITO!$M$22*EFEITO!$Z$22</f>
        <v>0</v>
      </c>
      <c r="O22" s="55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5" t="s">
        <v>21</v>
      </c>
      <c r="B23" s="35" t="s">
        <v>35</v>
      </c>
      <c r="C23" s="35" t="s">
        <v>54</v>
      </c>
      <c r="D23" s="35" t="s">
        <v>34</v>
      </c>
      <c r="E23" s="35" t="s">
        <v>25</v>
      </c>
      <c r="F23" s="35" t="s">
        <v>55</v>
      </c>
      <c r="G23" s="35" t="s">
        <v>25</v>
      </c>
      <c r="H23" s="35" t="s">
        <v>25</v>
      </c>
      <c r="I23" s="54">
        <v>44713</v>
      </c>
      <c r="J23" s="55">
        <f>EFEITO!$J$23*EFEITO!$Y$23</f>
        <v>0</v>
      </c>
      <c r="K23" s="55">
        <f ca="1">EFEITO!$L$23*EFEITO!$Z$23</f>
        <v>4601.0608146347477</v>
      </c>
      <c r="L23" s="55">
        <f>EFEITO!$N$23*EFEITO!$AA$23</f>
        <v>0</v>
      </c>
      <c r="M23" s="55">
        <f>$J$23-EFEITO!$K$23*EFEITO!$Y$23</f>
        <v>0</v>
      </c>
      <c r="N23" s="55">
        <f ca="1">$K$23-EFEITO!$M$23*EFEITO!$Z$23</f>
        <v>0</v>
      </c>
      <c r="O23" s="55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5" t="s">
        <v>21</v>
      </c>
      <c r="B24" s="35" t="s">
        <v>35</v>
      </c>
      <c r="C24" s="35" t="s">
        <v>54</v>
      </c>
      <c r="D24" s="35" t="s">
        <v>34</v>
      </c>
      <c r="E24" s="35" t="s">
        <v>25</v>
      </c>
      <c r="F24" s="35" t="s">
        <v>55</v>
      </c>
      <c r="G24" s="35" t="s">
        <v>25</v>
      </c>
      <c r="H24" s="35" t="s">
        <v>25</v>
      </c>
      <c r="I24" s="54">
        <v>44743</v>
      </c>
      <c r="J24" s="55">
        <f>EFEITO!$J$24*EFEITO!$Y$24</f>
        <v>0</v>
      </c>
      <c r="K24" s="55">
        <f ca="1">EFEITO!$L$24*EFEITO!$Z$24</f>
        <v>4799.4523318145448</v>
      </c>
      <c r="L24" s="55">
        <f>EFEITO!$N$24*EFEITO!$AA$24</f>
        <v>0</v>
      </c>
      <c r="M24" s="55">
        <f>$J$24-EFEITO!$K$24*EFEITO!$Y$24</f>
        <v>0</v>
      </c>
      <c r="N24" s="55">
        <f ca="1">$K$24-EFEITO!$M$24*EFEITO!$Z$24</f>
        <v>0</v>
      </c>
      <c r="O24" s="55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5" t="s">
        <v>21</v>
      </c>
      <c r="B25" s="35" t="s">
        <v>35</v>
      </c>
      <c r="C25" s="35" t="s">
        <v>54</v>
      </c>
      <c r="D25" s="35" t="s">
        <v>34</v>
      </c>
      <c r="E25" s="35" t="s">
        <v>25</v>
      </c>
      <c r="F25" s="35" t="s">
        <v>55</v>
      </c>
      <c r="G25" s="35" t="s">
        <v>25</v>
      </c>
      <c r="H25" s="35" t="s">
        <v>25</v>
      </c>
      <c r="I25" s="54">
        <v>44774</v>
      </c>
      <c r="J25" s="55">
        <f>EFEITO!$J$25*EFEITO!$Y$25</f>
        <v>0</v>
      </c>
      <c r="K25" s="55">
        <f ca="1">EFEITO!$L$25*EFEITO!$Z$25</f>
        <v>4713.0253356882631</v>
      </c>
      <c r="L25" s="55">
        <f>EFEITO!$N$25*EFEITO!$AA$25</f>
        <v>0</v>
      </c>
      <c r="M25" s="55">
        <f>$J$25-EFEITO!$K$25*EFEITO!$Y$25</f>
        <v>0</v>
      </c>
      <c r="N25" s="55">
        <f ca="1">$K$25-EFEITO!$M$25*EFEITO!$Z$25</f>
        <v>0</v>
      </c>
      <c r="O25" s="55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5" t="s">
        <v>21</v>
      </c>
      <c r="B26" s="35" t="s">
        <v>35</v>
      </c>
      <c r="C26" s="35" t="s">
        <v>54</v>
      </c>
      <c r="D26" s="35" t="s">
        <v>34</v>
      </c>
      <c r="E26" s="35" t="s">
        <v>25</v>
      </c>
      <c r="F26" s="35" t="s">
        <v>55</v>
      </c>
      <c r="G26" s="35" t="s">
        <v>25</v>
      </c>
      <c r="H26" s="35" t="s">
        <v>37</v>
      </c>
      <c r="I26" s="54">
        <v>44440</v>
      </c>
      <c r="J26" s="55">
        <f ca="1">EFEITO!$J$26*EFEITO!$Y$26</f>
        <v>7622.3340799064717</v>
      </c>
      <c r="K26" s="55">
        <f ca="1">EFEITO!$L$26*EFEITO!$Z$26</f>
        <v>0</v>
      </c>
      <c r="L26" s="55">
        <f>EFEITO!$N$26*EFEITO!$AA$26</f>
        <v>0</v>
      </c>
      <c r="M26" s="55">
        <f ca="1">$J$26-EFEITO!$K$26*EFEITO!$Y$26</f>
        <v>3811.1670399532359</v>
      </c>
      <c r="N26" s="55">
        <f ca="1">$K$26-EFEITO!$M$26*EFEITO!$Z$26</f>
        <v>0</v>
      </c>
      <c r="O26" s="55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5" t="s">
        <v>21</v>
      </c>
      <c r="B27" s="35" t="s">
        <v>35</v>
      </c>
      <c r="C27" s="35" t="s">
        <v>54</v>
      </c>
      <c r="D27" s="35" t="s">
        <v>34</v>
      </c>
      <c r="E27" s="35" t="s">
        <v>25</v>
      </c>
      <c r="F27" s="35" t="s">
        <v>55</v>
      </c>
      <c r="G27" s="35" t="s">
        <v>25</v>
      </c>
      <c r="H27" s="35" t="s">
        <v>37</v>
      </c>
      <c r="I27" s="54">
        <v>44470</v>
      </c>
      <c r="J27" s="55">
        <f ca="1">EFEITO!$J$27*EFEITO!$Y$27</f>
        <v>7622.3340799064717</v>
      </c>
      <c r="K27" s="55">
        <f ca="1">EFEITO!$L$27*EFEITO!$Z$27</f>
        <v>0</v>
      </c>
      <c r="L27" s="55">
        <f>EFEITO!$N$27*EFEITO!$AA$27</f>
        <v>0</v>
      </c>
      <c r="M27" s="55">
        <f ca="1">$J$27-EFEITO!$K$27*EFEITO!$Y$27</f>
        <v>3811.1670399532359</v>
      </c>
      <c r="N27" s="55">
        <f ca="1">$K$27-EFEITO!$M$27*EFEITO!$Z$27</f>
        <v>0</v>
      </c>
      <c r="O27" s="55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5" t="s">
        <v>21</v>
      </c>
      <c r="B28" s="35" t="s">
        <v>35</v>
      </c>
      <c r="C28" s="35" t="s">
        <v>54</v>
      </c>
      <c r="D28" s="35" t="s">
        <v>34</v>
      </c>
      <c r="E28" s="35" t="s">
        <v>25</v>
      </c>
      <c r="F28" s="35" t="s">
        <v>55</v>
      </c>
      <c r="G28" s="35" t="s">
        <v>25</v>
      </c>
      <c r="H28" s="35" t="s">
        <v>37</v>
      </c>
      <c r="I28" s="54">
        <v>44501</v>
      </c>
      <c r="J28" s="55">
        <f ca="1">EFEITO!$J$28*EFEITO!$Y$28</f>
        <v>7622.3340799064717</v>
      </c>
      <c r="K28" s="55">
        <f ca="1">EFEITO!$L$28*EFEITO!$Z$28</f>
        <v>0</v>
      </c>
      <c r="L28" s="55">
        <f>EFEITO!$N$28*EFEITO!$AA$28</f>
        <v>0</v>
      </c>
      <c r="M28" s="55">
        <f ca="1">$J$28-EFEITO!$K$28*EFEITO!$Y$28</f>
        <v>3811.1670399532359</v>
      </c>
      <c r="N28" s="55">
        <f ca="1">$K$28-EFEITO!$M$28*EFEITO!$Z$28</f>
        <v>0</v>
      </c>
      <c r="O28" s="55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5" t="s">
        <v>21</v>
      </c>
      <c r="B29" s="35" t="s">
        <v>35</v>
      </c>
      <c r="C29" s="35" t="s">
        <v>54</v>
      </c>
      <c r="D29" s="35" t="s">
        <v>34</v>
      </c>
      <c r="E29" s="35" t="s">
        <v>25</v>
      </c>
      <c r="F29" s="35" t="s">
        <v>55</v>
      </c>
      <c r="G29" s="35" t="s">
        <v>25</v>
      </c>
      <c r="H29" s="35" t="s">
        <v>37</v>
      </c>
      <c r="I29" s="54">
        <v>44531</v>
      </c>
      <c r="J29" s="55">
        <f ca="1">EFEITO!$J$29*EFEITO!$Y$29</f>
        <v>7622.3340799064717</v>
      </c>
      <c r="K29" s="55">
        <f ca="1">EFEITO!$L$29*EFEITO!$Z$29</f>
        <v>0</v>
      </c>
      <c r="L29" s="55">
        <f>EFEITO!$N$29*EFEITO!$AA$29</f>
        <v>0</v>
      </c>
      <c r="M29" s="55">
        <f ca="1">$J$29-EFEITO!$K$29*EFEITO!$Y$29</f>
        <v>3811.1670399532359</v>
      </c>
      <c r="N29" s="55">
        <f ca="1">$K$29-EFEITO!$M$29*EFEITO!$Z$29</f>
        <v>0</v>
      </c>
      <c r="O29" s="55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5" t="s">
        <v>21</v>
      </c>
      <c r="B30" s="35" t="s">
        <v>35</v>
      </c>
      <c r="C30" s="35" t="s">
        <v>54</v>
      </c>
      <c r="D30" s="35" t="s">
        <v>34</v>
      </c>
      <c r="E30" s="35" t="s">
        <v>25</v>
      </c>
      <c r="F30" s="35" t="s">
        <v>55</v>
      </c>
      <c r="G30" s="35" t="s">
        <v>25</v>
      </c>
      <c r="H30" s="35" t="s">
        <v>37</v>
      </c>
      <c r="I30" s="54">
        <v>44562</v>
      </c>
      <c r="J30" s="55">
        <f ca="1">EFEITO!$J$30*EFEITO!$Y$30</f>
        <v>7622.3340799064717</v>
      </c>
      <c r="K30" s="55">
        <f ca="1">EFEITO!$L$30*EFEITO!$Z$30</f>
        <v>0</v>
      </c>
      <c r="L30" s="55">
        <f>EFEITO!$N$30*EFEITO!$AA$30</f>
        <v>0</v>
      </c>
      <c r="M30" s="55">
        <f ca="1">$J$30-EFEITO!$K$30*EFEITO!$Y$30</f>
        <v>3811.1670399532359</v>
      </c>
      <c r="N30" s="55">
        <f ca="1">$K$30-EFEITO!$M$30*EFEITO!$Z$30</f>
        <v>0</v>
      </c>
      <c r="O30" s="55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5" t="s">
        <v>21</v>
      </c>
      <c r="B31" s="35" t="s">
        <v>35</v>
      </c>
      <c r="C31" s="35" t="s">
        <v>54</v>
      </c>
      <c r="D31" s="35" t="s">
        <v>34</v>
      </c>
      <c r="E31" s="35" t="s">
        <v>25</v>
      </c>
      <c r="F31" s="35" t="s">
        <v>55</v>
      </c>
      <c r="G31" s="35" t="s">
        <v>25</v>
      </c>
      <c r="H31" s="35" t="s">
        <v>37</v>
      </c>
      <c r="I31" s="54">
        <v>44593</v>
      </c>
      <c r="J31" s="55">
        <f ca="1">EFEITO!$J$31*EFEITO!$Y$31</f>
        <v>7622.3340799064717</v>
      </c>
      <c r="K31" s="55">
        <f ca="1">EFEITO!$L$31*EFEITO!$Z$31</f>
        <v>0</v>
      </c>
      <c r="L31" s="55">
        <f>EFEITO!$N$31*EFEITO!$AA$31</f>
        <v>0</v>
      </c>
      <c r="M31" s="55">
        <f ca="1">$J$31-EFEITO!$K$31*EFEITO!$Y$31</f>
        <v>3811.1670399532359</v>
      </c>
      <c r="N31" s="55">
        <f ca="1">$K$31-EFEITO!$M$31*EFEITO!$Z$31</f>
        <v>0</v>
      </c>
      <c r="O31" s="55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5" t="s">
        <v>21</v>
      </c>
      <c r="B32" s="35" t="s">
        <v>35</v>
      </c>
      <c r="C32" s="35" t="s">
        <v>54</v>
      </c>
      <c r="D32" s="35" t="s">
        <v>34</v>
      </c>
      <c r="E32" s="35" t="s">
        <v>25</v>
      </c>
      <c r="F32" s="35" t="s">
        <v>55</v>
      </c>
      <c r="G32" s="35" t="s">
        <v>25</v>
      </c>
      <c r="H32" s="35" t="s">
        <v>37</v>
      </c>
      <c r="I32" s="54">
        <v>44621</v>
      </c>
      <c r="J32" s="55">
        <f ca="1">EFEITO!$J$32*EFEITO!$Y$32</f>
        <v>7622.3340799064717</v>
      </c>
      <c r="K32" s="55">
        <f ca="1">EFEITO!$L$32*EFEITO!$Z$32</f>
        <v>0</v>
      </c>
      <c r="L32" s="55">
        <f>EFEITO!$N$32*EFEITO!$AA$32</f>
        <v>0</v>
      </c>
      <c r="M32" s="55">
        <f ca="1">$J$32-EFEITO!$K$32*EFEITO!$Y$32</f>
        <v>3811.1670399532359</v>
      </c>
      <c r="N32" s="55">
        <f ca="1">$K$32-EFEITO!$M$32*EFEITO!$Z$32</f>
        <v>0</v>
      </c>
      <c r="O32" s="55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5" t="s">
        <v>21</v>
      </c>
      <c r="B33" s="35" t="s">
        <v>35</v>
      </c>
      <c r="C33" s="35" t="s">
        <v>54</v>
      </c>
      <c r="D33" s="35" t="s">
        <v>34</v>
      </c>
      <c r="E33" s="35" t="s">
        <v>25</v>
      </c>
      <c r="F33" s="35" t="s">
        <v>55</v>
      </c>
      <c r="G33" s="35" t="s">
        <v>25</v>
      </c>
      <c r="H33" s="35" t="s">
        <v>37</v>
      </c>
      <c r="I33" s="54">
        <v>44652</v>
      </c>
      <c r="J33" s="55">
        <f ca="1">EFEITO!$J$33*EFEITO!$Y$33</f>
        <v>7622.3340799064717</v>
      </c>
      <c r="K33" s="55">
        <f ca="1">EFEITO!$L$33*EFEITO!$Z$33</f>
        <v>0</v>
      </c>
      <c r="L33" s="55">
        <f>EFEITO!$N$33*EFEITO!$AA$33</f>
        <v>0</v>
      </c>
      <c r="M33" s="55">
        <f ca="1">$J$33-EFEITO!$K$33*EFEITO!$Y$33</f>
        <v>3811.1670399532359</v>
      </c>
      <c r="N33" s="55">
        <f ca="1">$K$33-EFEITO!$M$33*EFEITO!$Z$33</f>
        <v>0</v>
      </c>
      <c r="O33" s="55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5" t="s">
        <v>21</v>
      </c>
      <c r="B34" s="35" t="s">
        <v>35</v>
      </c>
      <c r="C34" s="35" t="s">
        <v>54</v>
      </c>
      <c r="D34" s="35" t="s">
        <v>34</v>
      </c>
      <c r="E34" s="35" t="s">
        <v>25</v>
      </c>
      <c r="F34" s="35" t="s">
        <v>55</v>
      </c>
      <c r="G34" s="35" t="s">
        <v>25</v>
      </c>
      <c r="H34" s="35" t="s">
        <v>37</v>
      </c>
      <c r="I34" s="54">
        <v>44682</v>
      </c>
      <c r="J34" s="55">
        <f ca="1">EFEITO!$J$34*EFEITO!$Y$34</f>
        <v>7622.3340799064717</v>
      </c>
      <c r="K34" s="55">
        <f ca="1">EFEITO!$L$34*EFEITO!$Z$34</f>
        <v>0</v>
      </c>
      <c r="L34" s="55">
        <f>EFEITO!$N$34*EFEITO!$AA$34</f>
        <v>0</v>
      </c>
      <c r="M34" s="55">
        <f ca="1">$J$34-EFEITO!$K$34*EFEITO!$Y$34</f>
        <v>3811.1670399532359</v>
      </c>
      <c r="N34" s="55">
        <f ca="1">$K$34-EFEITO!$M$34*EFEITO!$Z$34</f>
        <v>0</v>
      </c>
      <c r="O34" s="55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5" t="s">
        <v>21</v>
      </c>
      <c r="B35" s="35" t="s">
        <v>35</v>
      </c>
      <c r="C35" s="35" t="s">
        <v>54</v>
      </c>
      <c r="D35" s="35" t="s">
        <v>34</v>
      </c>
      <c r="E35" s="35" t="s">
        <v>25</v>
      </c>
      <c r="F35" s="35" t="s">
        <v>55</v>
      </c>
      <c r="G35" s="35" t="s">
        <v>25</v>
      </c>
      <c r="H35" s="35" t="s">
        <v>37</v>
      </c>
      <c r="I35" s="54">
        <v>44713</v>
      </c>
      <c r="J35" s="55">
        <f ca="1">EFEITO!$J$35*EFEITO!$Y$35</f>
        <v>7622.3340799064717</v>
      </c>
      <c r="K35" s="55">
        <f ca="1">EFEITO!$L$35*EFEITO!$Z$35</f>
        <v>0</v>
      </c>
      <c r="L35" s="55">
        <f>EFEITO!$N$35*EFEITO!$AA$35</f>
        <v>0</v>
      </c>
      <c r="M35" s="55">
        <f ca="1">$J$35-EFEITO!$K$35*EFEITO!$Y$35</f>
        <v>3811.1670399532359</v>
      </c>
      <c r="N35" s="55">
        <f ca="1">$K$35-EFEITO!$M$35*EFEITO!$Z$35</f>
        <v>0</v>
      </c>
      <c r="O35" s="55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5" t="s">
        <v>21</v>
      </c>
      <c r="B36" s="35" t="s">
        <v>35</v>
      </c>
      <c r="C36" s="35" t="s">
        <v>54</v>
      </c>
      <c r="D36" s="35" t="s">
        <v>34</v>
      </c>
      <c r="E36" s="35" t="s">
        <v>25</v>
      </c>
      <c r="F36" s="35" t="s">
        <v>55</v>
      </c>
      <c r="G36" s="35" t="s">
        <v>25</v>
      </c>
      <c r="H36" s="35" t="s">
        <v>37</v>
      </c>
      <c r="I36" s="54">
        <v>44743</v>
      </c>
      <c r="J36" s="55">
        <f ca="1">EFEITO!$J$36*EFEITO!$Y$36</f>
        <v>7622.3340799064717</v>
      </c>
      <c r="K36" s="55">
        <f ca="1">EFEITO!$L$36*EFEITO!$Z$36</f>
        <v>0</v>
      </c>
      <c r="L36" s="55">
        <f>EFEITO!$N$36*EFEITO!$AA$36</f>
        <v>0</v>
      </c>
      <c r="M36" s="55">
        <f ca="1">$J$36-EFEITO!$K$36*EFEITO!$Y$36</f>
        <v>3811.1670399532359</v>
      </c>
      <c r="N36" s="55">
        <f ca="1">$K$36-EFEITO!$M$36*EFEITO!$Z$36</f>
        <v>0</v>
      </c>
      <c r="O36" s="55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5" t="s">
        <v>21</v>
      </c>
      <c r="B37" s="35" t="s">
        <v>35</v>
      </c>
      <c r="C37" s="35" t="s">
        <v>54</v>
      </c>
      <c r="D37" s="35" t="s">
        <v>34</v>
      </c>
      <c r="E37" s="35" t="s">
        <v>25</v>
      </c>
      <c r="F37" s="35" t="s">
        <v>55</v>
      </c>
      <c r="G37" s="35" t="s">
        <v>25</v>
      </c>
      <c r="H37" s="35" t="s">
        <v>37</v>
      </c>
      <c r="I37" s="54">
        <v>44774</v>
      </c>
      <c r="J37" s="55">
        <f ca="1">EFEITO!$J$37*EFEITO!$Y$37</f>
        <v>7622.3340799064717</v>
      </c>
      <c r="K37" s="55">
        <f ca="1">EFEITO!$L$37*EFEITO!$Z$37</f>
        <v>0</v>
      </c>
      <c r="L37" s="55">
        <f>EFEITO!$N$37*EFEITO!$AA$37</f>
        <v>0</v>
      </c>
      <c r="M37" s="55">
        <f ca="1">$J$37-EFEITO!$K$37*EFEITO!$Y$37</f>
        <v>3811.1670399532359</v>
      </c>
      <c r="N37" s="55">
        <f ca="1">$K$37-EFEITO!$M$37*EFEITO!$Z$37</f>
        <v>0</v>
      </c>
      <c r="O37" s="55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5" t="s">
        <v>21</v>
      </c>
      <c r="B38" s="35" t="s">
        <v>35</v>
      </c>
      <c r="C38" s="35" t="s">
        <v>36</v>
      </c>
      <c r="D38" s="35" t="s">
        <v>39</v>
      </c>
      <c r="E38" s="35" t="s">
        <v>25</v>
      </c>
      <c r="F38" s="35" t="s">
        <v>25</v>
      </c>
      <c r="G38" s="35" t="s">
        <v>25</v>
      </c>
      <c r="H38" s="35" t="s">
        <v>38</v>
      </c>
      <c r="I38" s="54">
        <v>44440</v>
      </c>
      <c r="J38" s="55">
        <f>EFEITO!$J$38*EFEITO!$Y$38</f>
        <v>0</v>
      </c>
      <c r="K38" s="55">
        <f ca="1">EFEITO!$L$38*EFEITO!$Z$38</f>
        <v>20116.659488855679</v>
      </c>
      <c r="L38" s="55">
        <f>EFEITO!$N$38*EFEITO!$AA$38</f>
        <v>37245.666336771072</v>
      </c>
      <c r="M38" s="55">
        <f>$J$38-EFEITO!$K$38*EFEITO!$Y$38</f>
        <v>0</v>
      </c>
      <c r="N38" s="55">
        <f ca="1">$K$38-EFEITO!$M$38*EFEITO!$Z$38</f>
        <v>0</v>
      </c>
      <c r="O38" s="55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5" t="s">
        <v>21</v>
      </c>
      <c r="B39" s="35" t="s">
        <v>35</v>
      </c>
      <c r="C39" s="35" t="s">
        <v>36</v>
      </c>
      <c r="D39" s="35" t="s">
        <v>39</v>
      </c>
      <c r="E39" s="35" t="s">
        <v>25</v>
      </c>
      <c r="F39" s="35" t="s">
        <v>25</v>
      </c>
      <c r="G39" s="35" t="s">
        <v>25</v>
      </c>
      <c r="H39" s="35" t="s">
        <v>38</v>
      </c>
      <c r="I39" s="54">
        <v>44470</v>
      </c>
      <c r="J39" s="55">
        <f>EFEITO!$J$39*EFEITO!$Y$39</f>
        <v>0</v>
      </c>
      <c r="K39" s="55">
        <f ca="1">EFEITO!$L$39*EFEITO!$Z$39</f>
        <v>20182.155729257287</v>
      </c>
      <c r="L39" s="55">
        <f>EFEITO!$N$39*EFEITO!$AA$39</f>
        <v>37366.931555664029</v>
      </c>
      <c r="M39" s="55">
        <f>$J$39-EFEITO!$K$39*EFEITO!$Y$39</f>
        <v>0</v>
      </c>
      <c r="N39" s="55">
        <f ca="1">$K$39-EFEITO!$M$39*EFEITO!$Z$39</f>
        <v>0</v>
      </c>
      <c r="O39" s="55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5" t="s">
        <v>21</v>
      </c>
      <c r="B40" s="35" t="s">
        <v>35</v>
      </c>
      <c r="C40" s="35" t="s">
        <v>36</v>
      </c>
      <c r="D40" s="35" t="s">
        <v>39</v>
      </c>
      <c r="E40" s="35" t="s">
        <v>25</v>
      </c>
      <c r="F40" s="35" t="s">
        <v>25</v>
      </c>
      <c r="G40" s="35" t="s">
        <v>25</v>
      </c>
      <c r="H40" s="35" t="s">
        <v>38</v>
      </c>
      <c r="I40" s="54">
        <v>44501</v>
      </c>
      <c r="J40" s="55">
        <f>EFEITO!$J$40*EFEITO!$Y$40</f>
        <v>0</v>
      </c>
      <c r="K40" s="55">
        <f ca="1">EFEITO!$L$40*EFEITO!$Z$40</f>
        <v>20854.043002734958</v>
      </c>
      <c r="L40" s="55">
        <f>EFEITO!$N$40*EFEITO!$AA$40</f>
        <v>38610.919863848874</v>
      </c>
      <c r="M40" s="55">
        <f>$J$40-EFEITO!$K$40*EFEITO!$Y$40</f>
        <v>0</v>
      </c>
      <c r="N40" s="55">
        <f ca="1">$K$40-EFEITO!$M$40*EFEITO!$Z$40</f>
        <v>0</v>
      </c>
      <c r="O40" s="55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5" t="s">
        <v>21</v>
      </c>
      <c r="B41" s="35" t="s">
        <v>35</v>
      </c>
      <c r="C41" s="35" t="s">
        <v>36</v>
      </c>
      <c r="D41" s="35" t="s">
        <v>39</v>
      </c>
      <c r="E41" s="35" t="s">
        <v>25</v>
      </c>
      <c r="F41" s="35" t="s">
        <v>25</v>
      </c>
      <c r="G41" s="35" t="s">
        <v>25</v>
      </c>
      <c r="H41" s="35" t="s">
        <v>38</v>
      </c>
      <c r="I41" s="54">
        <v>44531</v>
      </c>
      <c r="J41" s="55">
        <f>EFEITO!$J$41*EFEITO!$Y$41</f>
        <v>0</v>
      </c>
      <c r="K41" s="55">
        <f ca="1">EFEITO!$L$41*EFEITO!$Z$41</f>
        <v>22776.567967550996</v>
      </c>
      <c r="L41" s="55">
        <f>EFEITO!$N$41*EFEITO!$AA$41</f>
        <v>42170.443422087716</v>
      </c>
      <c r="M41" s="55">
        <f>$J$41-EFEITO!$K$41*EFEITO!$Y$41</f>
        <v>0</v>
      </c>
      <c r="N41" s="55">
        <f ca="1">$K$41-EFEITO!$M$41*EFEITO!$Z$41</f>
        <v>0</v>
      </c>
      <c r="O41" s="55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5" t="s">
        <v>21</v>
      </c>
      <c r="B42" s="35" t="s">
        <v>35</v>
      </c>
      <c r="C42" s="35" t="s">
        <v>36</v>
      </c>
      <c r="D42" s="35" t="s">
        <v>39</v>
      </c>
      <c r="E42" s="35" t="s">
        <v>25</v>
      </c>
      <c r="F42" s="35" t="s">
        <v>25</v>
      </c>
      <c r="G42" s="35" t="s">
        <v>25</v>
      </c>
      <c r="H42" s="35" t="s">
        <v>38</v>
      </c>
      <c r="I42" s="54">
        <v>44562</v>
      </c>
      <c r="J42" s="55">
        <f>EFEITO!$J$42*EFEITO!$Y$42</f>
        <v>0</v>
      </c>
      <c r="K42" s="55">
        <f ca="1">EFEITO!$L$42*EFEITO!$Z$42</f>
        <v>22020.156493922012</v>
      </c>
      <c r="L42" s="55">
        <f>EFEITO!$N$42*EFEITO!$AA$42</f>
        <v>40769.959938450789</v>
      </c>
      <c r="M42" s="55">
        <f>$J$42-EFEITO!$K$42*EFEITO!$Y$42</f>
        <v>0</v>
      </c>
      <c r="N42" s="55">
        <f ca="1">$K$42-EFEITO!$M$42*EFEITO!$Z$42</f>
        <v>0</v>
      </c>
      <c r="O42" s="55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5" t="s">
        <v>21</v>
      </c>
      <c r="B43" s="35" t="s">
        <v>35</v>
      </c>
      <c r="C43" s="35" t="s">
        <v>36</v>
      </c>
      <c r="D43" s="35" t="s">
        <v>39</v>
      </c>
      <c r="E43" s="35" t="s">
        <v>25</v>
      </c>
      <c r="F43" s="35" t="s">
        <v>25</v>
      </c>
      <c r="G43" s="35" t="s">
        <v>25</v>
      </c>
      <c r="H43" s="35" t="s">
        <v>38</v>
      </c>
      <c r="I43" s="54">
        <v>44593</v>
      </c>
      <c r="J43" s="55">
        <f>EFEITO!$J$43*EFEITO!$Y$43</f>
        <v>0</v>
      </c>
      <c r="K43" s="55">
        <f ca="1">EFEITO!$L$43*EFEITO!$Z$43</f>
        <v>22260.409522551156</v>
      </c>
      <c r="L43" s="55">
        <f>EFEITO!$N$43*EFEITO!$AA$43</f>
        <v>41214.784495215645</v>
      </c>
      <c r="M43" s="55">
        <f>$J$43-EFEITO!$K$43*EFEITO!$Y$43</f>
        <v>0</v>
      </c>
      <c r="N43" s="55">
        <f ca="1">$K$43-EFEITO!$M$43*EFEITO!$Z$43</f>
        <v>0</v>
      </c>
      <c r="O43" s="55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5" t="s">
        <v>21</v>
      </c>
      <c r="B44" s="35" t="s">
        <v>35</v>
      </c>
      <c r="C44" s="35" t="s">
        <v>36</v>
      </c>
      <c r="D44" s="35" t="s">
        <v>39</v>
      </c>
      <c r="E44" s="35" t="s">
        <v>25</v>
      </c>
      <c r="F44" s="35" t="s">
        <v>25</v>
      </c>
      <c r="G44" s="35" t="s">
        <v>25</v>
      </c>
      <c r="H44" s="35" t="s">
        <v>38</v>
      </c>
      <c r="I44" s="54">
        <v>44621</v>
      </c>
      <c r="J44" s="55">
        <f>EFEITO!$J$44*EFEITO!$Y$44</f>
        <v>0</v>
      </c>
      <c r="K44" s="55">
        <f ca="1">EFEITO!$L$44*EFEITO!$Z$44</f>
        <v>28009.857781658768</v>
      </c>
      <c r="L44" s="55">
        <f>EFEITO!$N$44*EFEITO!$AA$44</f>
        <v>51859.794000789014</v>
      </c>
      <c r="M44" s="55">
        <f>$J$44-EFEITO!$K$44*EFEITO!$Y$44</f>
        <v>0</v>
      </c>
      <c r="N44" s="55">
        <f ca="1">$K$44-EFEITO!$M$44*EFEITO!$Z$44</f>
        <v>0</v>
      </c>
      <c r="O44" s="55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5" t="s">
        <v>21</v>
      </c>
      <c r="B45" s="35" t="s">
        <v>35</v>
      </c>
      <c r="C45" s="35" t="s">
        <v>36</v>
      </c>
      <c r="D45" s="35" t="s">
        <v>39</v>
      </c>
      <c r="E45" s="35" t="s">
        <v>25</v>
      </c>
      <c r="F45" s="35" t="s">
        <v>25</v>
      </c>
      <c r="G45" s="35" t="s">
        <v>25</v>
      </c>
      <c r="H45" s="35" t="s">
        <v>38</v>
      </c>
      <c r="I45" s="54">
        <v>44652</v>
      </c>
      <c r="J45" s="55">
        <f>EFEITO!$J$45*EFEITO!$Y$45</f>
        <v>0</v>
      </c>
      <c r="K45" s="55">
        <f ca="1">EFEITO!$L$45*EFEITO!$Z$45</f>
        <v>22439.07204988521</v>
      </c>
      <c r="L45" s="55">
        <f>EFEITO!$N$45*EFEITO!$AA$45</f>
        <v>41545.575245223365</v>
      </c>
      <c r="M45" s="55">
        <f>$J$45-EFEITO!$K$45*EFEITO!$Y$45</f>
        <v>0</v>
      </c>
      <c r="N45" s="55">
        <f ca="1">$K$45-EFEITO!$M$45*EFEITO!$Z$45</f>
        <v>0</v>
      </c>
      <c r="O45" s="55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5" t="s">
        <v>21</v>
      </c>
      <c r="B46" s="35" t="s">
        <v>35</v>
      </c>
      <c r="C46" s="35" t="s">
        <v>36</v>
      </c>
      <c r="D46" s="35" t="s">
        <v>39</v>
      </c>
      <c r="E46" s="35" t="s">
        <v>25</v>
      </c>
      <c r="F46" s="35" t="s">
        <v>25</v>
      </c>
      <c r="G46" s="35" t="s">
        <v>25</v>
      </c>
      <c r="H46" s="35" t="s">
        <v>38</v>
      </c>
      <c r="I46" s="54">
        <v>44682</v>
      </c>
      <c r="J46" s="55">
        <f>EFEITO!$J$46*EFEITO!$Y$46</f>
        <v>0</v>
      </c>
      <c r="K46" s="55">
        <f ca="1">EFEITO!$L$46*EFEITO!$Z$46</f>
        <v>22484.238417501609</v>
      </c>
      <c r="L46" s="55">
        <f>EFEITO!$N$46*EFEITO!$AA$46</f>
        <v>41629.200036845265</v>
      </c>
      <c r="M46" s="55">
        <f>$J$46-EFEITO!$K$46*EFEITO!$Y$46</f>
        <v>0</v>
      </c>
      <c r="N46" s="55">
        <f ca="1">$K$46-EFEITO!$M$46*EFEITO!$Z$46</f>
        <v>0</v>
      </c>
      <c r="O46" s="55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5" t="s">
        <v>21</v>
      </c>
      <c r="B47" s="35" t="s">
        <v>35</v>
      </c>
      <c r="C47" s="35" t="s">
        <v>36</v>
      </c>
      <c r="D47" s="35" t="s">
        <v>39</v>
      </c>
      <c r="E47" s="35" t="s">
        <v>25</v>
      </c>
      <c r="F47" s="35" t="s">
        <v>25</v>
      </c>
      <c r="G47" s="35" t="s">
        <v>25</v>
      </c>
      <c r="H47" s="35" t="s">
        <v>38</v>
      </c>
      <c r="I47" s="54">
        <v>44713</v>
      </c>
      <c r="J47" s="55">
        <f>EFEITO!$J$47*EFEITO!$Y$47</f>
        <v>0</v>
      </c>
      <c r="K47" s="55">
        <f ca="1">EFEITO!$L$47*EFEITO!$Z$47</f>
        <v>17606.87159786986</v>
      </c>
      <c r="L47" s="55">
        <f>EFEITO!$N$47*EFEITO!$AA$47</f>
        <v>32598.835066623462</v>
      </c>
      <c r="M47" s="55">
        <f>$J$47-EFEITO!$K$47*EFEITO!$Y$47</f>
        <v>0</v>
      </c>
      <c r="N47" s="55">
        <f ca="1">$K$47-EFEITO!$M$47*EFEITO!$Z$47</f>
        <v>0</v>
      </c>
      <c r="O47" s="55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5" t="s">
        <v>28</v>
      </c>
      <c r="B48" s="35" t="s">
        <v>35</v>
      </c>
      <c r="C48" s="35" t="s">
        <v>36</v>
      </c>
      <c r="D48" s="35" t="s">
        <v>39</v>
      </c>
      <c r="E48" s="35" t="s">
        <v>25</v>
      </c>
      <c r="F48" s="35" t="s">
        <v>25</v>
      </c>
      <c r="G48" s="35" t="s">
        <v>25</v>
      </c>
      <c r="H48" s="35" t="s">
        <v>38</v>
      </c>
      <c r="I48" s="54">
        <v>44713</v>
      </c>
      <c r="J48" s="55">
        <f>EFEITO!$J$48*EFEITO!$Y$48</f>
        <v>0</v>
      </c>
      <c r="K48" s="55">
        <f ca="1">EFEITO!$L$48*EFEITO!$Z$48</f>
        <v>2431.6731088554579</v>
      </c>
      <c r="L48" s="55">
        <f>EFEITO!$N$48*EFEITO!$AA$48</f>
        <v>4502.2030274312283</v>
      </c>
      <c r="M48" s="55">
        <f>$J$48-EFEITO!$K$48*EFEITO!$Y$48</f>
        <v>0</v>
      </c>
      <c r="N48" s="55">
        <f ca="1">$K$48-EFEITO!$M$48*EFEITO!$Z$48</f>
        <v>0</v>
      </c>
      <c r="O48" s="55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5" t="s">
        <v>21</v>
      </c>
      <c r="B49" s="35" t="s">
        <v>35</v>
      </c>
      <c r="C49" s="35" t="s">
        <v>36</v>
      </c>
      <c r="D49" s="35" t="s">
        <v>39</v>
      </c>
      <c r="E49" s="35" t="s">
        <v>25</v>
      </c>
      <c r="F49" s="35" t="s">
        <v>25</v>
      </c>
      <c r="G49" s="35" t="s">
        <v>25</v>
      </c>
      <c r="H49" s="35" t="s">
        <v>38</v>
      </c>
      <c r="I49" s="54">
        <v>44743</v>
      </c>
      <c r="J49" s="55">
        <f>EFEITO!$J$49*EFEITO!$Y$49</f>
        <v>0</v>
      </c>
      <c r="K49" s="55">
        <f ca="1">EFEITO!$L$49*EFEITO!$Z$49</f>
        <v>18021.580973256805</v>
      </c>
      <c r="L49" s="55">
        <f>EFEITO!$N$49*EFEITO!$AA$49</f>
        <v>33366.662698788226</v>
      </c>
      <c r="M49" s="55">
        <f>$J$49-EFEITO!$K$49*EFEITO!$Y$49</f>
        <v>0</v>
      </c>
      <c r="N49" s="55">
        <f ca="1">$K$49-EFEITO!$M$49*EFEITO!$Z$49</f>
        <v>0</v>
      </c>
      <c r="O49" s="55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5" t="s">
        <v>28</v>
      </c>
      <c r="B50" s="35" t="s">
        <v>35</v>
      </c>
      <c r="C50" s="35" t="s">
        <v>36</v>
      </c>
      <c r="D50" s="35" t="s">
        <v>39</v>
      </c>
      <c r="E50" s="35" t="s">
        <v>25</v>
      </c>
      <c r="F50" s="35" t="s">
        <v>25</v>
      </c>
      <c r="G50" s="35" t="s">
        <v>25</v>
      </c>
      <c r="H50" s="35" t="s">
        <v>38</v>
      </c>
      <c r="I50" s="54">
        <v>44743</v>
      </c>
      <c r="J50" s="55">
        <f>EFEITO!$J$50*EFEITO!$Y$50</f>
        <v>0</v>
      </c>
      <c r="K50" s="55">
        <f ca="1">EFEITO!$L$50*EFEITO!$Z$50</f>
        <v>3007.3189648622606</v>
      </c>
      <c r="L50" s="55">
        <f>EFEITO!$N$50*EFEITO!$AA$50</f>
        <v>5568.0019237565321</v>
      </c>
      <c r="M50" s="55">
        <f>$J$50-EFEITO!$K$50*EFEITO!$Y$50</f>
        <v>0</v>
      </c>
      <c r="N50" s="55">
        <f ca="1">$K$50-EFEITO!$M$50*EFEITO!$Z$50</f>
        <v>0</v>
      </c>
      <c r="O50" s="55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5" t="s">
        <v>21</v>
      </c>
      <c r="B51" s="35" t="s">
        <v>35</v>
      </c>
      <c r="C51" s="35" t="s">
        <v>36</v>
      </c>
      <c r="D51" s="35" t="s">
        <v>39</v>
      </c>
      <c r="E51" s="35" t="s">
        <v>25</v>
      </c>
      <c r="F51" s="35" t="s">
        <v>25</v>
      </c>
      <c r="G51" s="35" t="s">
        <v>25</v>
      </c>
      <c r="H51" s="35" t="s">
        <v>38</v>
      </c>
      <c r="I51" s="54">
        <v>44774</v>
      </c>
      <c r="J51" s="55">
        <f>EFEITO!$J$51*EFEITO!$Y$51</f>
        <v>0</v>
      </c>
      <c r="K51" s="55">
        <f ca="1">EFEITO!$L$51*EFEITO!$Z$51</f>
        <v>22514.382711631402</v>
      </c>
      <c r="L51" s="55">
        <f>EFEITO!$N$51*EFEITO!$AA$51</f>
        <v>41685.011704867866</v>
      </c>
      <c r="M51" s="55">
        <f>$J$51-EFEITO!$K$51*EFEITO!$Y$51</f>
        <v>0</v>
      </c>
      <c r="N51" s="55">
        <f ca="1">$K$51-EFEITO!$M$51*EFEITO!$Z$51</f>
        <v>0</v>
      </c>
      <c r="O51" s="55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5" t="s">
        <v>28</v>
      </c>
      <c r="B52" s="35" t="s">
        <v>35</v>
      </c>
      <c r="C52" s="35" t="s">
        <v>36</v>
      </c>
      <c r="D52" s="35" t="s">
        <v>39</v>
      </c>
      <c r="E52" s="35" t="s">
        <v>25</v>
      </c>
      <c r="F52" s="35" t="s">
        <v>25</v>
      </c>
      <c r="G52" s="35" t="s">
        <v>25</v>
      </c>
      <c r="H52" s="35" t="s">
        <v>38</v>
      </c>
      <c r="I52" s="54">
        <v>44774</v>
      </c>
      <c r="J52" s="55">
        <f>EFEITO!$J$52*EFEITO!$Y$52</f>
        <v>0</v>
      </c>
      <c r="K52" s="55">
        <f ca="1">EFEITO!$L$52*EFEITO!$Z$52</f>
        <v>2891.3485575456498</v>
      </c>
      <c r="L52" s="55">
        <f>EFEITO!$N$52*EFEITO!$AA$52</f>
        <v>5353.2846095699106</v>
      </c>
      <c r="M52" s="55">
        <f>$J$52-EFEITO!$K$52*EFEITO!$Y$52</f>
        <v>0</v>
      </c>
      <c r="N52" s="55">
        <f ca="1">$K$52-EFEITO!$M$52*EFEITO!$Z$52</f>
        <v>0</v>
      </c>
      <c r="O52" s="55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5" t="s">
        <v>21</v>
      </c>
      <c r="B53" s="35" t="s">
        <v>35</v>
      </c>
      <c r="C53" s="35" t="s">
        <v>36</v>
      </c>
      <c r="D53" s="35" t="s">
        <v>39</v>
      </c>
      <c r="E53" s="35" t="s">
        <v>25</v>
      </c>
      <c r="F53" s="35" t="s">
        <v>25</v>
      </c>
      <c r="G53" s="35" t="s">
        <v>25</v>
      </c>
      <c r="H53" s="35" t="s">
        <v>25</v>
      </c>
      <c r="I53" s="54">
        <v>44440</v>
      </c>
      <c r="J53" s="55">
        <f ca="1">EFEITO!$J$53*EFEITO!$Y$53</f>
        <v>32386.496173781463</v>
      </c>
      <c r="K53" s="55">
        <f>EFEITO!$L$53*EFEITO!$Z$53</f>
        <v>0</v>
      </c>
      <c r="L53" s="55">
        <f>EFEITO!$N$53*EFEITO!$AA$53</f>
        <v>0</v>
      </c>
      <c r="M53" s="55">
        <f ca="1">$J$53-EFEITO!$K$53*EFEITO!$Y$53</f>
        <v>0</v>
      </c>
      <c r="N53" s="55">
        <f>$K$53-EFEITO!$M$53*EFEITO!$Z$53</f>
        <v>0</v>
      </c>
      <c r="O53" s="55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5" t="s">
        <v>27</v>
      </c>
      <c r="B54" s="35" t="s">
        <v>35</v>
      </c>
      <c r="C54" s="35" t="s">
        <v>36</v>
      </c>
      <c r="D54" s="35" t="s">
        <v>39</v>
      </c>
      <c r="E54" s="35" t="s">
        <v>25</v>
      </c>
      <c r="F54" s="35" t="s">
        <v>25</v>
      </c>
      <c r="G54" s="35" t="s">
        <v>25</v>
      </c>
      <c r="H54" s="35" t="s">
        <v>25</v>
      </c>
      <c r="I54" s="54">
        <v>44440</v>
      </c>
      <c r="J54" s="55">
        <f ca="1">EFEITO!$J$54*EFEITO!$Y$54</f>
        <v>-1682.4153856509852</v>
      </c>
      <c r="K54" s="55">
        <f>EFEITO!$L$54*EFEITO!$Z$54</f>
        <v>0</v>
      </c>
      <c r="L54" s="55">
        <f>EFEITO!$N$54*EFEITO!$AA$54</f>
        <v>0</v>
      </c>
      <c r="M54" s="55">
        <f ca="1">$J$54-EFEITO!$K$54*EFEITO!$Y$54</f>
        <v>0</v>
      </c>
      <c r="N54" s="55">
        <f>$K$54-EFEITO!$M$54*EFEITO!$Z$54</f>
        <v>0</v>
      </c>
      <c r="O54" s="55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5" t="s">
        <v>28</v>
      </c>
      <c r="B55" s="35" t="s">
        <v>35</v>
      </c>
      <c r="C55" s="35" t="s">
        <v>36</v>
      </c>
      <c r="D55" s="35" t="s">
        <v>39</v>
      </c>
      <c r="E55" s="35" t="s">
        <v>25</v>
      </c>
      <c r="F55" s="35" t="s">
        <v>25</v>
      </c>
      <c r="G55" s="35" t="s">
        <v>25</v>
      </c>
      <c r="H55" s="35" t="s">
        <v>25</v>
      </c>
      <c r="I55" s="54">
        <v>44440</v>
      </c>
      <c r="J55" s="55">
        <f ca="1">EFEITO!$J$55*EFEITO!$Y$55</f>
        <v>5047.2461569529551</v>
      </c>
      <c r="K55" s="55">
        <f>EFEITO!$L$55*EFEITO!$Z$55</f>
        <v>0</v>
      </c>
      <c r="L55" s="55">
        <f>EFEITO!$N$55*EFEITO!$AA$55</f>
        <v>0</v>
      </c>
      <c r="M55" s="55">
        <f ca="1">$J$55-EFEITO!$K$55*EFEITO!$Y$55</f>
        <v>0</v>
      </c>
      <c r="N55" s="55">
        <f>$K$55-EFEITO!$M$55*EFEITO!$Z$55</f>
        <v>0</v>
      </c>
      <c r="O55" s="55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5" t="s">
        <v>21</v>
      </c>
      <c r="B56" s="35" t="s">
        <v>35</v>
      </c>
      <c r="C56" s="35" t="s">
        <v>36</v>
      </c>
      <c r="D56" s="35" t="s">
        <v>39</v>
      </c>
      <c r="E56" s="35" t="s">
        <v>25</v>
      </c>
      <c r="F56" s="35" t="s">
        <v>25</v>
      </c>
      <c r="G56" s="35" t="s">
        <v>25</v>
      </c>
      <c r="H56" s="35" t="s">
        <v>25</v>
      </c>
      <c r="I56" s="54">
        <v>44470</v>
      </c>
      <c r="J56" s="55">
        <f ca="1">EFEITO!$J$56*EFEITO!$Y$56</f>
        <v>33031.422071614339</v>
      </c>
      <c r="K56" s="55">
        <f>EFEITO!$L$56*EFEITO!$Z$56</f>
        <v>0</v>
      </c>
      <c r="L56" s="55">
        <f>EFEITO!$N$56*EFEITO!$AA$56</f>
        <v>0</v>
      </c>
      <c r="M56" s="55">
        <f ca="1">$J$56-EFEITO!$K$56*EFEITO!$Y$56</f>
        <v>0</v>
      </c>
      <c r="N56" s="55">
        <f>$K$56-EFEITO!$M$56*EFEITO!$Z$56</f>
        <v>0</v>
      </c>
      <c r="O56" s="55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5" t="s">
        <v>28</v>
      </c>
      <c r="B57" s="35" t="s">
        <v>35</v>
      </c>
      <c r="C57" s="35" t="s">
        <v>36</v>
      </c>
      <c r="D57" s="35" t="s">
        <v>39</v>
      </c>
      <c r="E57" s="35" t="s">
        <v>25</v>
      </c>
      <c r="F57" s="35" t="s">
        <v>25</v>
      </c>
      <c r="G57" s="35" t="s">
        <v>25</v>
      </c>
      <c r="H57" s="35" t="s">
        <v>25</v>
      </c>
      <c r="I57" s="54">
        <v>44470</v>
      </c>
      <c r="J57" s="55">
        <f ca="1">EFEITO!$J$57*EFEITO!$Y$57</f>
        <v>5047.2461569529551</v>
      </c>
      <c r="K57" s="55">
        <f>EFEITO!$L$57*EFEITO!$Z$57</f>
        <v>0</v>
      </c>
      <c r="L57" s="55">
        <f>EFEITO!$N$57*EFEITO!$AA$57</f>
        <v>0</v>
      </c>
      <c r="M57" s="55">
        <f ca="1">$J$57-EFEITO!$K$57*EFEITO!$Y$57</f>
        <v>0</v>
      </c>
      <c r="N57" s="55">
        <f>$K$57-EFEITO!$M$57*EFEITO!$Z$57</f>
        <v>0</v>
      </c>
      <c r="O57" s="55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5" t="s">
        <v>21</v>
      </c>
      <c r="B58" s="35" t="s">
        <v>35</v>
      </c>
      <c r="C58" s="35" t="s">
        <v>36</v>
      </c>
      <c r="D58" s="35" t="s">
        <v>39</v>
      </c>
      <c r="E58" s="35" t="s">
        <v>25</v>
      </c>
      <c r="F58" s="35" t="s">
        <v>25</v>
      </c>
      <c r="G58" s="35" t="s">
        <v>25</v>
      </c>
      <c r="H58" s="35" t="s">
        <v>25</v>
      </c>
      <c r="I58" s="54">
        <v>44501</v>
      </c>
      <c r="J58" s="55">
        <f ca="1">EFEITO!$J$58*EFEITO!$Y$58</f>
        <v>35947.608740076052</v>
      </c>
      <c r="K58" s="55">
        <f>EFEITO!$L$58*EFEITO!$Z$58</f>
        <v>0</v>
      </c>
      <c r="L58" s="55">
        <f>EFEITO!$N$58*EFEITO!$AA$58</f>
        <v>0</v>
      </c>
      <c r="M58" s="55">
        <f ca="1">$J$58-EFEITO!$K$58*EFEITO!$Y$58</f>
        <v>0</v>
      </c>
      <c r="N58" s="55">
        <f>$K$58-EFEITO!$M$58*EFEITO!$Z$58</f>
        <v>0</v>
      </c>
      <c r="O58" s="55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5" t="s">
        <v>28</v>
      </c>
      <c r="B59" s="35" t="s">
        <v>35</v>
      </c>
      <c r="C59" s="35" t="s">
        <v>36</v>
      </c>
      <c r="D59" s="35" t="s">
        <v>39</v>
      </c>
      <c r="E59" s="35" t="s">
        <v>25</v>
      </c>
      <c r="F59" s="35" t="s">
        <v>25</v>
      </c>
      <c r="G59" s="35" t="s">
        <v>25</v>
      </c>
      <c r="H59" s="35" t="s">
        <v>25</v>
      </c>
      <c r="I59" s="54">
        <v>44501</v>
      </c>
      <c r="J59" s="55">
        <f ca="1">EFEITO!$J$59*EFEITO!$Y$59</f>
        <v>5047.2461569529551</v>
      </c>
      <c r="K59" s="55">
        <f>EFEITO!$L$59*EFEITO!$Z$59</f>
        <v>0</v>
      </c>
      <c r="L59" s="55">
        <f>EFEITO!$N$59*EFEITO!$AA$59</f>
        <v>0</v>
      </c>
      <c r="M59" s="55">
        <f ca="1">$J$59-EFEITO!$K$59*EFEITO!$Y$59</f>
        <v>0</v>
      </c>
      <c r="N59" s="55">
        <f>$K$59-EFEITO!$M$59*EFEITO!$Z$59</f>
        <v>0</v>
      </c>
      <c r="O59" s="55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5" t="s">
        <v>21</v>
      </c>
      <c r="B60" s="35" t="s">
        <v>35</v>
      </c>
      <c r="C60" s="35" t="s">
        <v>36</v>
      </c>
      <c r="D60" s="35" t="s">
        <v>39</v>
      </c>
      <c r="E60" s="35" t="s">
        <v>25</v>
      </c>
      <c r="F60" s="35" t="s">
        <v>25</v>
      </c>
      <c r="G60" s="35" t="s">
        <v>25</v>
      </c>
      <c r="H60" s="35" t="s">
        <v>25</v>
      </c>
      <c r="I60" s="54">
        <v>44531</v>
      </c>
      <c r="J60" s="55">
        <f ca="1">EFEITO!$J$60*EFEITO!$Y$60</f>
        <v>36003.689252931079</v>
      </c>
      <c r="K60" s="55">
        <f>EFEITO!$L$60*EFEITO!$Z$60</f>
        <v>0</v>
      </c>
      <c r="L60" s="55">
        <f>EFEITO!$N$60*EFEITO!$AA$60</f>
        <v>0</v>
      </c>
      <c r="M60" s="55">
        <f ca="1">$J$60-EFEITO!$K$60*EFEITO!$Y$60</f>
        <v>0</v>
      </c>
      <c r="N60" s="55">
        <f>$K$60-EFEITO!$M$60*EFEITO!$Z$60</f>
        <v>0</v>
      </c>
      <c r="O60" s="55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5" t="s">
        <v>28</v>
      </c>
      <c r="B61" s="35" t="s">
        <v>35</v>
      </c>
      <c r="C61" s="35" t="s">
        <v>36</v>
      </c>
      <c r="D61" s="35" t="s">
        <v>39</v>
      </c>
      <c r="E61" s="35" t="s">
        <v>25</v>
      </c>
      <c r="F61" s="35" t="s">
        <v>25</v>
      </c>
      <c r="G61" s="35" t="s">
        <v>25</v>
      </c>
      <c r="H61" s="35" t="s">
        <v>25</v>
      </c>
      <c r="I61" s="54">
        <v>44531</v>
      </c>
      <c r="J61" s="55">
        <f ca="1">EFEITO!$J$61*EFEITO!$Y$61</f>
        <v>5551.9707726482511</v>
      </c>
      <c r="K61" s="55">
        <f>EFEITO!$L$61*EFEITO!$Z$61</f>
        <v>0</v>
      </c>
      <c r="L61" s="55">
        <f>EFEITO!$N$61*EFEITO!$AA$61</f>
        <v>0</v>
      </c>
      <c r="M61" s="55">
        <f ca="1">$J$61-EFEITO!$K$61*EFEITO!$Y$61</f>
        <v>0</v>
      </c>
      <c r="N61" s="55">
        <f>$K$61-EFEITO!$M$61*EFEITO!$Z$61</f>
        <v>0</v>
      </c>
      <c r="O61" s="55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5" t="s">
        <v>21</v>
      </c>
      <c r="B62" s="35" t="s">
        <v>35</v>
      </c>
      <c r="C62" s="35" t="s">
        <v>36</v>
      </c>
      <c r="D62" s="35" t="s">
        <v>39</v>
      </c>
      <c r="E62" s="35" t="s">
        <v>25</v>
      </c>
      <c r="F62" s="35" t="s">
        <v>25</v>
      </c>
      <c r="G62" s="35" t="s">
        <v>25</v>
      </c>
      <c r="H62" s="35" t="s">
        <v>25</v>
      </c>
      <c r="I62" s="54">
        <v>44562</v>
      </c>
      <c r="J62" s="55">
        <f ca="1">EFEITO!$J$62*EFEITO!$Y$62</f>
        <v>38274.950023559912</v>
      </c>
      <c r="K62" s="55">
        <f>EFEITO!$L$62*EFEITO!$Z$62</f>
        <v>0</v>
      </c>
      <c r="L62" s="55">
        <f>EFEITO!$N$62*EFEITO!$AA$62</f>
        <v>0</v>
      </c>
      <c r="M62" s="55">
        <f ca="1">$J$62-EFEITO!$K$62*EFEITO!$Y$62</f>
        <v>0</v>
      </c>
      <c r="N62" s="55">
        <f>$K$62-EFEITO!$M$62*EFEITO!$Z$62</f>
        <v>0</v>
      </c>
      <c r="O62" s="55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5" t="s">
        <v>28</v>
      </c>
      <c r="B63" s="35" t="s">
        <v>35</v>
      </c>
      <c r="C63" s="35" t="s">
        <v>36</v>
      </c>
      <c r="D63" s="35" t="s">
        <v>39</v>
      </c>
      <c r="E63" s="35" t="s">
        <v>25</v>
      </c>
      <c r="F63" s="35" t="s">
        <v>25</v>
      </c>
      <c r="G63" s="35" t="s">
        <v>25</v>
      </c>
      <c r="H63" s="35" t="s">
        <v>25</v>
      </c>
      <c r="I63" s="54">
        <v>44562</v>
      </c>
      <c r="J63" s="55">
        <f ca="1">EFEITO!$J$63*EFEITO!$Y$63</f>
        <v>5047.2461569529551</v>
      </c>
      <c r="K63" s="55">
        <f>EFEITO!$L$63*EFEITO!$Z$63</f>
        <v>0</v>
      </c>
      <c r="L63" s="55">
        <f>EFEITO!$N$63*EFEITO!$AA$63</f>
        <v>0</v>
      </c>
      <c r="M63" s="55">
        <f ca="1">$J$63-EFEITO!$K$63*EFEITO!$Y$63</f>
        <v>0</v>
      </c>
      <c r="N63" s="55">
        <f>$K$63-EFEITO!$M$63*EFEITO!$Z$63</f>
        <v>0</v>
      </c>
      <c r="O63" s="55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5" t="s">
        <v>21</v>
      </c>
      <c r="B64" s="35" t="s">
        <v>35</v>
      </c>
      <c r="C64" s="35" t="s">
        <v>36</v>
      </c>
      <c r="D64" s="35" t="s">
        <v>39</v>
      </c>
      <c r="E64" s="35" t="s">
        <v>25</v>
      </c>
      <c r="F64" s="35" t="s">
        <v>25</v>
      </c>
      <c r="G64" s="35" t="s">
        <v>25</v>
      </c>
      <c r="H64" s="35" t="s">
        <v>25</v>
      </c>
      <c r="I64" s="54">
        <v>44593</v>
      </c>
      <c r="J64" s="55">
        <f ca="1">EFEITO!$J$64*EFEITO!$Y$64</f>
        <v>38891.835664965271</v>
      </c>
      <c r="K64" s="55">
        <f>EFEITO!$L$64*EFEITO!$Z$64</f>
        <v>0</v>
      </c>
      <c r="L64" s="55">
        <f>EFEITO!$N$64*EFEITO!$AA$64</f>
        <v>0</v>
      </c>
      <c r="M64" s="55">
        <f ca="1">$J$64-EFEITO!$K$64*EFEITO!$Y$64</f>
        <v>0</v>
      </c>
      <c r="N64" s="55">
        <f>$K$64-EFEITO!$M$64*EFEITO!$Z$64</f>
        <v>0</v>
      </c>
      <c r="O64" s="55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5" t="s">
        <v>28</v>
      </c>
      <c r="B65" s="35" t="s">
        <v>35</v>
      </c>
      <c r="C65" s="35" t="s">
        <v>36</v>
      </c>
      <c r="D65" s="35" t="s">
        <v>39</v>
      </c>
      <c r="E65" s="35" t="s">
        <v>25</v>
      </c>
      <c r="F65" s="35" t="s">
        <v>25</v>
      </c>
      <c r="G65" s="35" t="s">
        <v>25</v>
      </c>
      <c r="H65" s="35" t="s">
        <v>25</v>
      </c>
      <c r="I65" s="54">
        <v>44593</v>
      </c>
      <c r="J65" s="55">
        <f ca="1">EFEITO!$J$65*EFEITO!$Y$65</f>
        <v>5047.2461569529551</v>
      </c>
      <c r="K65" s="55">
        <f>EFEITO!$L$65*EFEITO!$Z$65</f>
        <v>0</v>
      </c>
      <c r="L65" s="55">
        <f>EFEITO!$N$65*EFEITO!$AA$65</f>
        <v>0</v>
      </c>
      <c r="M65" s="55">
        <f ca="1">$J$65-EFEITO!$K$65*EFEITO!$Y$65</f>
        <v>0</v>
      </c>
      <c r="N65" s="55">
        <f>$K$65-EFEITO!$M$65*EFEITO!$Z$65</f>
        <v>0</v>
      </c>
      <c r="O65" s="55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5" t="s">
        <v>21</v>
      </c>
      <c r="B66" s="35" t="s">
        <v>35</v>
      </c>
      <c r="C66" s="35" t="s">
        <v>36</v>
      </c>
      <c r="D66" s="35" t="s">
        <v>39</v>
      </c>
      <c r="E66" s="35" t="s">
        <v>25</v>
      </c>
      <c r="F66" s="35" t="s">
        <v>25</v>
      </c>
      <c r="G66" s="35" t="s">
        <v>25</v>
      </c>
      <c r="H66" s="35" t="s">
        <v>25</v>
      </c>
      <c r="I66" s="54">
        <v>44621</v>
      </c>
      <c r="J66" s="55">
        <f ca="1">EFEITO!$J$66*EFEITO!$Y$66</f>
        <v>40994.854897029007</v>
      </c>
      <c r="K66" s="55">
        <f>EFEITO!$L$66*EFEITO!$Z$66</f>
        <v>0</v>
      </c>
      <c r="L66" s="55">
        <f>EFEITO!$N$66*EFEITO!$AA$66</f>
        <v>0</v>
      </c>
      <c r="M66" s="55">
        <f ca="1">$J$66-EFEITO!$K$66*EFEITO!$Y$66</f>
        <v>0</v>
      </c>
      <c r="N66" s="55">
        <f>$K$66-EFEITO!$M$66*EFEITO!$Z$66</f>
        <v>0</v>
      </c>
      <c r="O66" s="55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5" t="s">
        <v>28</v>
      </c>
      <c r="B67" s="35" t="s">
        <v>35</v>
      </c>
      <c r="C67" s="35" t="s">
        <v>36</v>
      </c>
      <c r="D67" s="35" t="s">
        <v>39</v>
      </c>
      <c r="E67" s="35" t="s">
        <v>25</v>
      </c>
      <c r="F67" s="35" t="s">
        <v>25</v>
      </c>
      <c r="G67" s="35" t="s">
        <v>25</v>
      </c>
      <c r="H67" s="35" t="s">
        <v>25</v>
      </c>
      <c r="I67" s="54">
        <v>44621</v>
      </c>
      <c r="J67" s="55">
        <f ca="1">EFEITO!$J$67*EFEITO!$Y$67</f>
        <v>5047.2461569529551</v>
      </c>
      <c r="K67" s="55">
        <f>EFEITO!$L$67*EFEITO!$Z$67</f>
        <v>0</v>
      </c>
      <c r="L67" s="55">
        <f>EFEITO!$N$67*EFEITO!$AA$67</f>
        <v>0</v>
      </c>
      <c r="M67" s="55">
        <f ca="1">$J$67-EFEITO!$K$67*EFEITO!$Y$67</f>
        <v>0</v>
      </c>
      <c r="N67" s="55">
        <f>$K$67-EFEITO!$M$67*EFEITO!$Z$67</f>
        <v>0</v>
      </c>
      <c r="O67" s="55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5" t="s">
        <v>21</v>
      </c>
      <c r="B68" s="35" t="s">
        <v>35</v>
      </c>
      <c r="C68" s="35" t="s">
        <v>36</v>
      </c>
      <c r="D68" s="35" t="s">
        <v>39</v>
      </c>
      <c r="E68" s="35" t="s">
        <v>25</v>
      </c>
      <c r="F68" s="35" t="s">
        <v>25</v>
      </c>
      <c r="G68" s="35" t="s">
        <v>25</v>
      </c>
      <c r="H68" s="35" t="s">
        <v>25</v>
      </c>
      <c r="I68" s="54">
        <v>44652</v>
      </c>
      <c r="J68" s="55">
        <f ca="1">EFEITO!$J$68*EFEITO!$Y$68</f>
        <v>39620.882332080699</v>
      </c>
      <c r="K68" s="55">
        <f>EFEITO!$L$68*EFEITO!$Z$68</f>
        <v>0</v>
      </c>
      <c r="L68" s="55">
        <f>EFEITO!$N$68*EFEITO!$AA$68</f>
        <v>0</v>
      </c>
      <c r="M68" s="55">
        <f ca="1">$J$68-EFEITO!$K$68*EFEITO!$Y$68</f>
        <v>0</v>
      </c>
      <c r="N68" s="55">
        <f>$K$68-EFEITO!$M$68*EFEITO!$Z$68</f>
        <v>0</v>
      </c>
      <c r="O68" s="55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5" t="s">
        <v>28</v>
      </c>
      <c r="B69" s="35" t="s">
        <v>35</v>
      </c>
      <c r="C69" s="35" t="s">
        <v>36</v>
      </c>
      <c r="D69" s="35" t="s">
        <v>39</v>
      </c>
      <c r="E69" s="35" t="s">
        <v>25</v>
      </c>
      <c r="F69" s="35" t="s">
        <v>25</v>
      </c>
      <c r="G69" s="35" t="s">
        <v>25</v>
      </c>
      <c r="H69" s="35" t="s">
        <v>25</v>
      </c>
      <c r="I69" s="54">
        <v>44652</v>
      </c>
      <c r="J69" s="55">
        <f ca="1">EFEITO!$J$69*EFEITO!$Y$69</f>
        <v>5047.2461569529551</v>
      </c>
      <c r="K69" s="55">
        <f>EFEITO!$L$69*EFEITO!$Z$69</f>
        <v>0</v>
      </c>
      <c r="L69" s="55">
        <f>EFEITO!$N$69*EFEITO!$AA$69</f>
        <v>0</v>
      </c>
      <c r="M69" s="55">
        <f ca="1">$J$69-EFEITO!$K$69*EFEITO!$Y$69</f>
        <v>0</v>
      </c>
      <c r="N69" s="55">
        <f>$K$69-EFEITO!$M$69*EFEITO!$Z$69</f>
        <v>0</v>
      </c>
      <c r="O69" s="55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5" t="s">
        <v>21</v>
      </c>
      <c r="B70" s="35" t="s">
        <v>35</v>
      </c>
      <c r="C70" s="35" t="s">
        <v>36</v>
      </c>
      <c r="D70" s="35" t="s">
        <v>39</v>
      </c>
      <c r="E70" s="35" t="s">
        <v>25</v>
      </c>
      <c r="F70" s="35" t="s">
        <v>25</v>
      </c>
      <c r="G70" s="35" t="s">
        <v>25</v>
      </c>
      <c r="H70" s="35" t="s">
        <v>25</v>
      </c>
      <c r="I70" s="54">
        <v>44682</v>
      </c>
      <c r="J70" s="55">
        <f ca="1">EFEITO!$J$70*EFEITO!$Y$70</f>
        <v>40462.090024906189</v>
      </c>
      <c r="K70" s="55">
        <f>EFEITO!$L$70*EFEITO!$Z$70</f>
        <v>0</v>
      </c>
      <c r="L70" s="55">
        <f>EFEITO!$N$70*EFEITO!$AA$70</f>
        <v>0</v>
      </c>
      <c r="M70" s="55">
        <f ca="1">$J$70-EFEITO!$K$70*EFEITO!$Y$70</f>
        <v>0</v>
      </c>
      <c r="N70" s="55">
        <f>$K$70-EFEITO!$M$70*EFEITO!$Z$70</f>
        <v>0</v>
      </c>
      <c r="O70" s="55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5" t="s">
        <v>28</v>
      </c>
      <c r="B71" s="35" t="s">
        <v>35</v>
      </c>
      <c r="C71" s="35" t="s">
        <v>36</v>
      </c>
      <c r="D71" s="35" t="s">
        <v>39</v>
      </c>
      <c r="E71" s="35" t="s">
        <v>25</v>
      </c>
      <c r="F71" s="35" t="s">
        <v>25</v>
      </c>
      <c r="G71" s="35" t="s">
        <v>25</v>
      </c>
      <c r="H71" s="35" t="s">
        <v>25</v>
      </c>
      <c r="I71" s="54">
        <v>44682</v>
      </c>
      <c r="J71" s="55">
        <f ca="1">EFEITO!$J$71*EFEITO!$Y$71</f>
        <v>5047.2461569529551</v>
      </c>
      <c r="K71" s="55">
        <f>EFEITO!$L$71*EFEITO!$Z$71</f>
        <v>0</v>
      </c>
      <c r="L71" s="55">
        <f>EFEITO!$N$71*EFEITO!$AA$71</f>
        <v>0</v>
      </c>
      <c r="M71" s="55">
        <f ca="1">$J$71-EFEITO!$K$71*EFEITO!$Y$71</f>
        <v>0</v>
      </c>
      <c r="N71" s="55">
        <f>$K$71-EFEITO!$M$71*EFEITO!$Z$71</f>
        <v>0</v>
      </c>
      <c r="O71" s="55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5" t="s">
        <v>21</v>
      </c>
      <c r="B72" s="35" t="s">
        <v>35</v>
      </c>
      <c r="C72" s="35" t="s">
        <v>36</v>
      </c>
      <c r="D72" s="35" t="s">
        <v>39</v>
      </c>
      <c r="E72" s="35" t="s">
        <v>25</v>
      </c>
      <c r="F72" s="35" t="s">
        <v>25</v>
      </c>
      <c r="G72" s="35" t="s">
        <v>25</v>
      </c>
      <c r="H72" s="35" t="s">
        <v>25</v>
      </c>
      <c r="I72" s="54">
        <v>44713</v>
      </c>
      <c r="J72" s="55">
        <f ca="1">EFEITO!$J$72*EFEITO!$Y$72</f>
        <v>35442.884124380755</v>
      </c>
      <c r="K72" s="55">
        <f>EFEITO!$L$72*EFEITO!$Z$72</f>
        <v>0</v>
      </c>
      <c r="L72" s="55">
        <f>EFEITO!$N$72*EFEITO!$AA$72</f>
        <v>0</v>
      </c>
      <c r="M72" s="55">
        <f ca="1">$J$72-EFEITO!$K$72*EFEITO!$Y$72</f>
        <v>0</v>
      </c>
      <c r="N72" s="55">
        <f>$K$72-EFEITO!$M$72*EFEITO!$Z$72</f>
        <v>0</v>
      </c>
      <c r="O72" s="55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5" t="s">
        <v>28</v>
      </c>
      <c r="B73" s="35" t="s">
        <v>35</v>
      </c>
      <c r="C73" s="35" t="s">
        <v>36</v>
      </c>
      <c r="D73" s="35" t="s">
        <v>39</v>
      </c>
      <c r="E73" s="35" t="s">
        <v>25</v>
      </c>
      <c r="F73" s="35" t="s">
        <v>25</v>
      </c>
      <c r="G73" s="35" t="s">
        <v>25</v>
      </c>
      <c r="H73" s="35" t="s">
        <v>25</v>
      </c>
      <c r="I73" s="54">
        <v>44713</v>
      </c>
      <c r="J73" s="55">
        <f ca="1">EFEITO!$J$73*EFEITO!$Y$73</f>
        <v>9253.2846210804182</v>
      </c>
      <c r="K73" s="55">
        <f>EFEITO!$L$73*EFEITO!$Z$73</f>
        <v>0</v>
      </c>
      <c r="L73" s="55">
        <f>EFEITO!$N$73*EFEITO!$AA$73</f>
        <v>0</v>
      </c>
      <c r="M73" s="55">
        <f ca="1">$J$73-EFEITO!$K$73*EFEITO!$Y$73</f>
        <v>0</v>
      </c>
      <c r="N73" s="55">
        <f>$K$73-EFEITO!$M$73*EFEITO!$Z$73</f>
        <v>0</v>
      </c>
      <c r="O73" s="55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5" t="s">
        <v>21</v>
      </c>
      <c r="B74" s="35" t="s">
        <v>35</v>
      </c>
      <c r="C74" s="35" t="s">
        <v>36</v>
      </c>
      <c r="D74" s="35" t="s">
        <v>39</v>
      </c>
      <c r="E74" s="35" t="s">
        <v>25</v>
      </c>
      <c r="F74" s="35" t="s">
        <v>25</v>
      </c>
      <c r="G74" s="35" t="s">
        <v>25</v>
      </c>
      <c r="H74" s="35" t="s">
        <v>25</v>
      </c>
      <c r="I74" s="54">
        <v>44743</v>
      </c>
      <c r="J74" s="55">
        <f ca="1">EFEITO!$J$74*EFEITO!$Y$74</f>
        <v>37798.265664292128</v>
      </c>
      <c r="K74" s="55">
        <f>EFEITO!$L$74*EFEITO!$Z$74</f>
        <v>0</v>
      </c>
      <c r="L74" s="55">
        <f>EFEITO!$N$74*EFEITO!$AA$74</f>
        <v>0</v>
      </c>
      <c r="M74" s="55">
        <f ca="1">$J$74-EFEITO!$K$74*EFEITO!$Y$74</f>
        <v>0</v>
      </c>
      <c r="N74" s="55">
        <f>$K$74-EFEITO!$M$74*EFEITO!$Z$74</f>
        <v>0</v>
      </c>
      <c r="O74" s="55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5" t="s">
        <v>28</v>
      </c>
      <c r="B75" s="35" t="s">
        <v>35</v>
      </c>
      <c r="C75" s="35" t="s">
        <v>36</v>
      </c>
      <c r="D75" s="35" t="s">
        <v>39</v>
      </c>
      <c r="E75" s="35" t="s">
        <v>25</v>
      </c>
      <c r="F75" s="35" t="s">
        <v>25</v>
      </c>
      <c r="G75" s="35" t="s">
        <v>25</v>
      </c>
      <c r="H75" s="35" t="s">
        <v>25</v>
      </c>
      <c r="I75" s="54">
        <v>44743</v>
      </c>
      <c r="J75" s="55">
        <f ca="1">EFEITO!$J$75*EFEITO!$Y$75</f>
        <v>9253.2846210804182</v>
      </c>
      <c r="K75" s="55">
        <f>EFEITO!$L$75*EFEITO!$Z$75</f>
        <v>0</v>
      </c>
      <c r="L75" s="55">
        <f>EFEITO!$N$75*EFEITO!$AA$75</f>
        <v>0</v>
      </c>
      <c r="M75" s="55">
        <f ca="1">$J$75-EFEITO!$K$75*EFEITO!$Y$75</f>
        <v>0</v>
      </c>
      <c r="N75" s="55">
        <f>$K$75-EFEITO!$M$75*EFEITO!$Z$75</f>
        <v>0</v>
      </c>
      <c r="O75" s="55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5" t="s">
        <v>21</v>
      </c>
      <c r="B76" s="35" t="s">
        <v>35</v>
      </c>
      <c r="C76" s="35" t="s">
        <v>36</v>
      </c>
      <c r="D76" s="35" t="s">
        <v>39</v>
      </c>
      <c r="E76" s="35" t="s">
        <v>25</v>
      </c>
      <c r="F76" s="35" t="s">
        <v>25</v>
      </c>
      <c r="G76" s="35" t="s">
        <v>25</v>
      </c>
      <c r="H76" s="35" t="s">
        <v>25</v>
      </c>
      <c r="I76" s="54">
        <v>44774</v>
      </c>
      <c r="J76" s="55">
        <f ca="1">EFEITO!$J$76*EFEITO!$Y$76</f>
        <v>39761.083614218282</v>
      </c>
      <c r="K76" s="55">
        <f>EFEITO!$L$76*EFEITO!$Z$76</f>
        <v>0</v>
      </c>
      <c r="L76" s="55">
        <f>EFEITO!$N$76*EFEITO!$AA$76</f>
        <v>0</v>
      </c>
      <c r="M76" s="55">
        <f ca="1">$J$76-EFEITO!$K$76*EFEITO!$Y$76</f>
        <v>0</v>
      </c>
      <c r="N76" s="55">
        <f>$K$76-EFEITO!$M$76*EFEITO!$Z$76</f>
        <v>0</v>
      </c>
      <c r="O76" s="55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5" t="s">
        <v>28</v>
      </c>
      <c r="B77" s="35" t="s">
        <v>35</v>
      </c>
      <c r="C77" s="35" t="s">
        <v>36</v>
      </c>
      <c r="D77" s="35" t="s">
        <v>39</v>
      </c>
      <c r="E77" s="35" t="s">
        <v>25</v>
      </c>
      <c r="F77" s="35" t="s">
        <v>25</v>
      </c>
      <c r="G77" s="35" t="s">
        <v>25</v>
      </c>
      <c r="H77" s="35" t="s">
        <v>25</v>
      </c>
      <c r="I77" s="54">
        <v>44774</v>
      </c>
      <c r="J77" s="55">
        <f ca="1">EFEITO!$J$77*EFEITO!$Y$77</f>
        <v>9253.2846210804182</v>
      </c>
      <c r="K77" s="55">
        <f>EFEITO!$L$77*EFEITO!$Z$77</f>
        <v>0</v>
      </c>
      <c r="L77" s="55">
        <f>EFEITO!$N$77*EFEITO!$AA$77</f>
        <v>0</v>
      </c>
      <c r="M77" s="55">
        <f ca="1">$J$77-EFEITO!$K$77*EFEITO!$Y$77</f>
        <v>0</v>
      </c>
      <c r="N77" s="55">
        <f>$K$77-EFEITO!$M$77*EFEITO!$Z$77</f>
        <v>0</v>
      </c>
      <c r="O77" s="55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5" t="s">
        <v>21</v>
      </c>
      <c r="B78" s="35" t="s">
        <v>35</v>
      </c>
      <c r="C78" s="35" t="s">
        <v>36</v>
      </c>
      <c r="D78" s="35" t="s">
        <v>39</v>
      </c>
      <c r="E78" s="35" t="s">
        <v>25</v>
      </c>
      <c r="F78" s="35" t="s">
        <v>25</v>
      </c>
      <c r="G78" s="35" t="s">
        <v>25</v>
      </c>
      <c r="H78" s="35" t="s">
        <v>37</v>
      </c>
      <c r="I78" s="54">
        <v>44440</v>
      </c>
      <c r="J78" s="55">
        <f>EFEITO!$J$78*EFEITO!$Y$78</f>
        <v>0</v>
      </c>
      <c r="K78" s="55">
        <f ca="1">EFEITO!$L$78*EFEITO!$Z$78</f>
        <v>33153.958237252256</v>
      </c>
      <c r="L78" s="55">
        <f>EFEITO!$N$78*EFEITO!$AA$78</f>
        <v>2785.2061972342362</v>
      </c>
      <c r="M78" s="55">
        <f>$J$78-EFEITO!$K$78*EFEITO!$Y$78</f>
        <v>0</v>
      </c>
      <c r="N78" s="55">
        <f ca="1">$K$78-EFEITO!$M$78*EFEITO!$Z$78</f>
        <v>0</v>
      </c>
      <c r="O78" s="55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5" t="s">
        <v>21</v>
      </c>
      <c r="B79" s="35" t="s">
        <v>35</v>
      </c>
      <c r="C79" s="35" t="s">
        <v>36</v>
      </c>
      <c r="D79" s="35" t="s">
        <v>39</v>
      </c>
      <c r="E79" s="35" t="s">
        <v>25</v>
      </c>
      <c r="F79" s="35" t="s">
        <v>25</v>
      </c>
      <c r="G79" s="35" t="s">
        <v>25</v>
      </c>
      <c r="H79" s="35" t="s">
        <v>37</v>
      </c>
      <c r="I79" s="54">
        <v>44470</v>
      </c>
      <c r="J79" s="55">
        <f>EFEITO!$J$79*EFEITO!$Y$79</f>
        <v>0</v>
      </c>
      <c r="K79" s="55">
        <f ca="1">EFEITO!$L$79*EFEITO!$Z$79</f>
        <v>29304.647061846626</v>
      </c>
      <c r="L79" s="55">
        <f>EFEITO!$N$79*EFEITO!$AA$79</f>
        <v>2461.8322801863355</v>
      </c>
      <c r="M79" s="55">
        <f>$J$79-EFEITO!$K$79*EFEITO!$Y$79</f>
        <v>0</v>
      </c>
      <c r="N79" s="55">
        <f ca="1">$K$79-EFEITO!$M$79*EFEITO!$Z$79</f>
        <v>0</v>
      </c>
      <c r="O79" s="55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5" t="s">
        <v>21</v>
      </c>
      <c r="B80" s="35" t="s">
        <v>35</v>
      </c>
      <c r="C80" s="35" t="s">
        <v>36</v>
      </c>
      <c r="D80" s="35" t="s">
        <v>39</v>
      </c>
      <c r="E80" s="35" t="s">
        <v>25</v>
      </c>
      <c r="F80" s="35" t="s">
        <v>25</v>
      </c>
      <c r="G80" s="35" t="s">
        <v>25</v>
      </c>
      <c r="H80" s="35" t="s">
        <v>37</v>
      </c>
      <c r="I80" s="54">
        <v>44501</v>
      </c>
      <c r="J80" s="55">
        <f>EFEITO!$J$80*EFEITO!$Y$80</f>
        <v>0</v>
      </c>
      <c r="K80" s="55">
        <f ca="1">EFEITO!$L$80*EFEITO!$Z$80</f>
        <v>28940.463378393688</v>
      </c>
      <c r="L80" s="55">
        <f>EFEITO!$N$80*EFEITO!$AA$80</f>
        <v>2431.237844227102</v>
      </c>
      <c r="M80" s="55">
        <f>$J$80-EFEITO!$K$80*EFEITO!$Y$80</f>
        <v>0</v>
      </c>
      <c r="N80" s="55">
        <f ca="1">$K$80-EFEITO!$M$80*EFEITO!$Z$80</f>
        <v>0</v>
      </c>
      <c r="O80" s="55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5" t="s">
        <v>21</v>
      </c>
      <c r="B81" s="35" t="s">
        <v>35</v>
      </c>
      <c r="C81" s="35" t="s">
        <v>36</v>
      </c>
      <c r="D81" s="35" t="s">
        <v>39</v>
      </c>
      <c r="E81" s="35" t="s">
        <v>25</v>
      </c>
      <c r="F81" s="35" t="s">
        <v>25</v>
      </c>
      <c r="G81" s="35" t="s">
        <v>25</v>
      </c>
      <c r="H81" s="35" t="s">
        <v>37</v>
      </c>
      <c r="I81" s="54">
        <v>44531</v>
      </c>
      <c r="J81" s="55">
        <f>EFEITO!$J$81*EFEITO!$Y$81</f>
        <v>0</v>
      </c>
      <c r="K81" s="55">
        <f ca="1">EFEITO!$L$81*EFEITO!$Z$81</f>
        <v>32101.136315997392</v>
      </c>
      <c r="L81" s="55">
        <f>EFEITO!$N$81*EFEITO!$AA$81</f>
        <v>2696.7604641884514</v>
      </c>
      <c r="M81" s="55">
        <f>$J$81-EFEITO!$K$81*EFEITO!$Y$81</f>
        <v>0</v>
      </c>
      <c r="N81" s="55">
        <f ca="1">$K$81-EFEITO!$M$81*EFEITO!$Z$81</f>
        <v>0</v>
      </c>
      <c r="O81" s="55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5" t="s">
        <v>21</v>
      </c>
      <c r="B82" s="35" t="s">
        <v>35</v>
      </c>
      <c r="C82" s="35" t="s">
        <v>36</v>
      </c>
      <c r="D82" s="35" t="s">
        <v>39</v>
      </c>
      <c r="E82" s="35" t="s">
        <v>25</v>
      </c>
      <c r="F82" s="35" t="s">
        <v>25</v>
      </c>
      <c r="G82" s="35" t="s">
        <v>25</v>
      </c>
      <c r="H82" s="35" t="s">
        <v>37</v>
      </c>
      <c r="I82" s="54">
        <v>44562</v>
      </c>
      <c r="J82" s="55">
        <f>EFEITO!$J$82*EFEITO!$Y$82</f>
        <v>0</v>
      </c>
      <c r="K82" s="55">
        <f ca="1">EFEITO!$L$82*EFEITO!$Z$82</f>
        <v>30167.652032938142</v>
      </c>
      <c r="L82" s="55">
        <f>EFEITO!$N$82*EFEITO!$AA$82</f>
        <v>2534.3318223685196</v>
      </c>
      <c r="M82" s="55">
        <f>$J$82-EFEITO!$K$82*EFEITO!$Y$82</f>
        <v>0</v>
      </c>
      <c r="N82" s="55">
        <f ca="1">$K$82-EFEITO!$M$82*EFEITO!$Z$82</f>
        <v>0</v>
      </c>
      <c r="O82" s="55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5" t="s">
        <v>21</v>
      </c>
      <c r="B83" s="35" t="s">
        <v>35</v>
      </c>
      <c r="C83" s="35" t="s">
        <v>36</v>
      </c>
      <c r="D83" s="35" t="s">
        <v>39</v>
      </c>
      <c r="E83" s="35" t="s">
        <v>25</v>
      </c>
      <c r="F83" s="35" t="s">
        <v>25</v>
      </c>
      <c r="G83" s="35" t="s">
        <v>25</v>
      </c>
      <c r="H83" s="35" t="s">
        <v>37</v>
      </c>
      <c r="I83" s="54">
        <v>44593</v>
      </c>
      <c r="J83" s="55">
        <f>EFEITO!$J$83*EFEITO!$Y$83</f>
        <v>0</v>
      </c>
      <c r="K83" s="55">
        <f ca="1">EFEITO!$L$83*EFEITO!$Z$83</f>
        <v>30907.055269039567</v>
      </c>
      <c r="L83" s="55">
        <f>EFEITO!$N$83*EFEITO!$AA$83</f>
        <v>2596.447798406964</v>
      </c>
      <c r="M83" s="55">
        <f>$J$83-EFEITO!$K$83*EFEITO!$Y$83</f>
        <v>0</v>
      </c>
      <c r="N83" s="55">
        <f ca="1">$K$83-EFEITO!$M$83*EFEITO!$Z$83</f>
        <v>0</v>
      </c>
      <c r="O83" s="55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5" t="s">
        <v>21</v>
      </c>
      <c r="B84" s="35" t="s">
        <v>35</v>
      </c>
      <c r="C84" s="35" t="s">
        <v>36</v>
      </c>
      <c r="D84" s="35" t="s">
        <v>39</v>
      </c>
      <c r="E84" s="35" t="s">
        <v>25</v>
      </c>
      <c r="F84" s="35" t="s">
        <v>25</v>
      </c>
      <c r="G84" s="35" t="s">
        <v>25</v>
      </c>
      <c r="H84" s="35" t="s">
        <v>37</v>
      </c>
      <c r="I84" s="54">
        <v>44621</v>
      </c>
      <c r="J84" s="55">
        <f>EFEITO!$J$84*EFEITO!$Y$84</f>
        <v>0</v>
      </c>
      <c r="K84" s="55">
        <f ca="1">EFEITO!$L$84*EFEITO!$Z$84</f>
        <v>40333.894735872964</v>
      </c>
      <c r="L84" s="55">
        <f>EFEITO!$N$84*EFEITO!$AA$84</f>
        <v>3388.3801376911279</v>
      </c>
      <c r="M84" s="55">
        <f>$J$84-EFEITO!$K$84*EFEITO!$Y$84</f>
        <v>0</v>
      </c>
      <c r="N84" s="55">
        <f ca="1">$K$84-EFEITO!$M$84*EFEITO!$Z$84</f>
        <v>0</v>
      </c>
      <c r="O84" s="55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5" t="s">
        <v>21</v>
      </c>
      <c r="B85" s="35" t="s">
        <v>35</v>
      </c>
      <c r="C85" s="35" t="s">
        <v>36</v>
      </c>
      <c r="D85" s="35" t="s">
        <v>39</v>
      </c>
      <c r="E85" s="35" t="s">
        <v>25</v>
      </c>
      <c r="F85" s="35" t="s">
        <v>25</v>
      </c>
      <c r="G85" s="35" t="s">
        <v>25</v>
      </c>
      <c r="H85" s="35" t="s">
        <v>37</v>
      </c>
      <c r="I85" s="54">
        <v>44652</v>
      </c>
      <c r="J85" s="55">
        <f>EFEITO!$J$85*EFEITO!$Y$85</f>
        <v>0</v>
      </c>
      <c r="K85" s="55">
        <f ca="1">EFEITO!$L$85*EFEITO!$Z$85</f>
        <v>29110.415764005062</v>
      </c>
      <c r="L85" s="55">
        <f>EFEITO!$N$85*EFEITO!$AA$85</f>
        <v>2445.5152476747444</v>
      </c>
      <c r="M85" s="55">
        <f>$J$85-EFEITO!$K$85*EFEITO!$Y$85</f>
        <v>0</v>
      </c>
      <c r="N85" s="55">
        <f ca="1">$K$85-EFEITO!$M$85*EFEITO!$Z$85</f>
        <v>0</v>
      </c>
      <c r="O85" s="55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5" t="s">
        <v>21</v>
      </c>
      <c r="B86" s="35" t="s">
        <v>35</v>
      </c>
      <c r="C86" s="35" t="s">
        <v>36</v>
      </c>
      <c r="D86" s="35" t="s">
        <v>39</v>
      </c>
      <c r="E86" s="35" t="s">
        <v>25</v>
      </c>
      <c r="F86" s="35" t="s">
        <v>25</v>
      </c>
      <c r="G86" s="35" t="s">
        <v>25</v>
      </c>
      <c r="H86" s="35" t="s">
        <v>37</v>
      </c>
      <c r="I86" s="54">
        <v>44682</v>
      </c>
      <c r="J86" s="55">
        <f>EFEITO!$J$86*EFEITO!$Y$86</f>
        <v>0</v>
      </c>
      <c r="K86" s="55">
        <f ca="1">EFEITO!$L$86*EFEITO!$Z$86</f>
        <v>38358.47414987065</v>
      </c>
      <c r="L86" s="55">
        <f>EFEITO!$N$86*EFEITO!$AA$86</f>
        <v>3222.4285002152847</v>
      </c>
      <c r="M86" s="55">
        <f>$J$86-EFEITO!$K$86*EFEITO!$Y$86</f>
        <v>0</v>
      </c>
      <c r="N86" s="55">
        <f ca="1">$K$86-EFEITO!$M$86*EFEITO!$Z$86</f>
        <v>0</v>
      </c>
      <c r="O86" s="55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5" t="s">
        <v>21</v>
      </c>
      <c r="B87" s="35" t="s">
        <v>35</v>
      </c>
      <c r="C87" s="35" t="s">
        <v>36</v>
      </c>
      <c r="D87" s="35" t="s">
        <v>39</v>
      </c>
      <c r="E87" s="35" t="s">
        <v>25</v>
      </c>
      <c r="F87" s="35" t="s">
        <v>25</v>
      </c>
      <c r="G87" s="35" t="s">
        <v>25</v>
      </c>
      <c r="H87" s="35" t="s">
        <v>37</v>
      </c>
      <c r="I87" s="54">
        <v>44713</v>
      </c>
      <c r="J87" s="55">
        <f>EFEITO!$J$87*EFEITO!$Y$87</f>
        <v>0</v>
      </c>
      <c r="K87" s="55">
        <f ca="1">EFEITO!$L$87*EFEITO!$Z$87</f>
        <v>14423.881038575561</v>
      </c>
      <c r="L87" s="55">
        <f>EFEITO!$N$87*EFEITO!$AA$87</f>
        <v>1211.7250848096487</v>
      </c>
      <c r="M87" s="55">
        <f>$J$87-EFEITO!$K$87*EFEITO!$Y$87</f>
        <v>0</v>
      </c>
      <c r="N87" s="55">
        <f ca="1">$K$87-EFEITO!$M$87*EFEITO!$Z$87</f>
        <v>0</v>
      </c>
      <c r="O87" s="55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5" t="s">
        <v>28</v>
      </c>
      <c r="B88" s="35" t="s">
        <v>35</v>
      </c>
      <c r="C88" s="35" t="s">
        <v>36</v>
      </c>
      <c r="D88" s="35" t="s">
        <v>39</v>
      </c>
      <c r="E88" s="35" t="s">
        <v>25</v>
      </c>
      <c r="F88" s="35" t="s">
        <v>25</v>
      </c>
      <c r="G88" s="35" t="s">
        <v>25</v>
      </c>
      <c r="H88" s="35" t="s">
        <v>37</v>
      </c>
      <c r="I88" s="54">
        <v>44713</v>
      </c>
      <c r="J88" s="55">
        <f>EFEITO!$J$88*EFEITO!$Y$88</f>
        <v>0</v>
      </c>
      <c r="K88" s="55">
        <f ca="1">EFEITO!$L$88*EFEITO!$Z$88</f>
        <v>13574.119110518699</v>
      </c>
      <c r="L88" s="55">
        <f>EFEITO!$N$88*EFEITO!$AA$88</f>
        <v>1140.3380675714368</v>
      </c>
      <c r="M88" s="55">
        <f>$J$88-EFEITO!$K$88*EFEITO!$Y$88</f>
        <v>0</v>
      </c>
      <c r="N88" s="55">
        <f ca="1">$K$88-EFEITO!$M$88*EFEITO!$Z$88</f>
        <v>0</v>
      </c>
      <c r="O88" s="55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5" t="s">
        <v>21</v>
      </c>
      <c r="B89" s="35" t="s">
        <v>35</v>
      </c>
      <c r="C89" s="35" t="s">
        <v>36</v>
      </c>
      <c r="D89" s="35" t="s">
        <v>39</v>
      </c>
      <c r="E89" s="35" t="s">
        <v>25</v>
      </c>
      <c r="F89" s="35" t="s">
        <v>25</v>
      </c>
      <c r="G89" s="35" t="s">
        <v>25</v>
      </c>
      <c r="H89" s="35" t="s">
        <v>37</v>
      </c>
      <c r="I89" s="54">
        <v>44743</v>
      </c>
      <c r="J89" s="55">
        <f>EFEITO!$J$89*EFEITO!$Y$89</f>
        <v>0</v>
      </c>
      <c r="K89" s="55">
        <f ca="1">EFEITO!$L$89*EFEITO!$Z$89</f>
        <v>19017.009797760831</v>
      </c>
      <c r="L89" s="55">
        <f>EFEITO!$N$89*EFEITO!$AA$89</f>
        <v>1597.5858195439835</v>
      </c>
      <c r="M89" s="55">
        <f>$J$89-EFEITO!$K$89*EFEITO!$Y$89</f>
        <v>0</v>
      </c>
      <c r="N89" s="55">
        <f ca="1">$K$89-EFEITO!$M$89*EFEITO!$Z$89</f>
        <v>0</v>
      </c>
      <c r="O89" s="55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5" t="s">
        <v>28</v>
      </c>
      <c r="B90" s="35" t="s">
        <v>35</v>
      </c>
      <c r="C90" s="35" t="s">
        <v>36</v>
      </c>
      <c r="D90" s="35" t="s">
        <v>39</v>
      </c>
      <c r="E90" s="35" t="s">
        <v>25</v>
      </c>
      <c r="F90" s="35" t="s">
        <v>25</v>
      </c>
      <c r="G90" s="35" t="s">
        <v>25</v>
      </c>
      <c r="H90" s="35" t="s">
        <v>37</v>
      </c>
      <c r="I90" s="54">
        <v>44743</v>
      </c>
      <c r="J90" s="55">
        <f>EFEITO!$J$90*EFEITO!$Y$90</f>
        <v>0</v>
      </c>
      <c r="K90" s="55">
        <f ca="1">EFEITO!$L$90*EFEITO!$Z$90</f>
        <v>13916.231055580551</v>
      </c>
      <c r="L90" s="55">
        <f>EFEITO!$N$90*EFEITO!$AA$90</f>
        <v>1169.0782952907168</v>
      </c>
      <c r="M90" s="55">
        <f>$J$90-EFEITO!$K$90*EFEITO!$Y$90</f>
        <v>0</v>
      </c>
      <c r="N90" s="55">
        <f ca="1">$K$90-EFEITO!$M$90*EFEITO!$Z$90</f>
        <v>0</v>
      </c>
      <c r="O90" s="55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5" t="s">
        <v>21</v>
      </c>
      <c r="B91" s="35" t="s">
        <v>35</v>
      </c>
      <c r="C91" s="35" t="s">
        <v>36</v>
      </c>
      <c r="D91" s="35" t="s">
        <v>39</v>
      </c>
      <c r="E91" s="35" t="s">
        <v>25</v>
      </c>
      <c r="F91" s="35" t="s">
        <v>25</v>
      </c>
      <c r="G91" s="35" t="s">
        <v>25</v>
      </c>
      <c r="H91" s="35" t="s">
        <v>37</v>
      </c>
      <c r="I91" s="54">
        <v>44774</v>
      </c>
      <c r="J91" s="55">
        <f>EFEITO!$J$91*EFEITO!$Y$91</f>
        <v>0</v>
      </c>
      <c r="K91" s="55">
        <f ca="1">EFEITO!$L$91*EFEITO!$Z$91</f>
        <v>23678.56094595847</v>
      </c>
      <c r="L91" s="55">
        <f>EFEITO!$N$91*EFEITO!$AA$91</f>
        <v>1989.1945998221745</v>
      </c>
      <c r="M91" s="55">
        <f>$J$91-EFEITO!$K$91*EFEITO!$Y$91</f>
        <v>0</v>
      </c>
      <c r="N91" s="55">
        <f ca="1">$K$91-EFEITO!$M$91*EFEITO!$Z$91</f>
        <v>0</v>
      </c>
      <c r="O91" s="55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5" t="s">
        <v>28</v>
      </c>
      <c r="B92" s="35" t="s">
        <v>35</v>
      </c>
      <c r="C92" s="35" t="s">
        <v>36</v>
      </c>
      <c r="D92" s="35" t="s">
        <v>39</v>
      </c>
      <c r="E92" s="35" t="s">
        <v>25</v>
      </c>
      <c r="F92" s="35" t="s">
        <v>25</v>
      </c>
      <c r="G92" s="35" t="s">
        <v>25</v>
      </c>
      <c r="H92" s="35" t="s">
        <v>37</v>
      </c>
      <c r="I92" s="54">
        <v>44774</v>
      </c>
      <c r="J92" s="55">
        <f>EFEITO!$J$92*EFEITO!$Y$92</f>
        <v>0</v>
      </c>
      <c r="K92" s="55">
        <f ca="1">EFEITO!$L$92*EFEITO!$Z$92</f>
        <v>14399.602126345364</v>
      </c>
      <c r="L92" s="55">
        <f>EFEITO!$N$92*EFEITO!$AA$92</f>
        <v>1209.6854557456998</v>
      </c>
      <c r="M92" s="55">
        <f>$J$92-EFEITO!$K$92*EFEITO!$Y$92</f>
        <v>0</v>
      </c>
      <c r="N92" s="55">
        <f ca="1">$K$92-EFEITO!$M$92*EFEITO!$Z$92</f>
        <v>0</v>
      </c>
      <c r="O92" s="55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5" t="s">
        <v>21</v>
      </c>
      <c r="B93" s="35" t="s">
        <v>35</v>
      </c>
      <c r="C93" s="35" t="s">
        <v>36</v>
      </c>
      <c r="D93" s="35" t="s">
        <v>34</v>
      </c>
      <c r="E93" s="35" t="s">
        <v>25</v>
      </c>
      <c r="F93" s="35" t="s">
        <v>55</v>
      </c>
      <c r="G93" s="35" t="s">
        <v>25</v>
      </c>
      <c r="H93" s="35" t="s">
        <v>38</v>
      </c>
      <c r="I93" s="54">
        <v>44440</v>
      </c>
      <c r="J93" s="55">
        <f>EFEITO!$J$93*EFEITO!$Y$93</f>
        <v>0</v>
      </c>
      <c r="K93" s="55">
        <f ca="1">EFEITO!$L$93*EFEITO!$Z$93</f>
        <v>25786.29046417111</v>
      </c>
      <c r="L93" s="55">
        <f>EFEITO!$N$93*EFEITO!$AA$93</f>
        <v>0</v>
      </c>
      <c r="M93" s="55">
        <f>$J$93-EFEITO!$K$93*EFEITO!$Y$93</f>
        <v>0</v>
      </c>
      <c r="N93" s="55">
        <f ca="1">$K$93-EFEITO!$M$93*EFEITO!$Z$93</f>
        <v>0</v>
      </c>
      <c r="O93" s="55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5" t="s">
        <v>21</v>
      </c>
      <c r="B94" s="35" t="s">
        <v>35</v>
      </c>
      <c r="C94" s="35" t="s">
        <v>36</v>
      </c>
      <c r="D94" s="35" t="s">
        <v>34</v>
      </c>
      <c r="E94" s="35" t="s">
        <v>25</v>
      </c>
      <c r="F94" s="35" t="s">
        <v>55</v>
      </c>
      <c r="G94" s="35" t="s">
        <v>25</v>
      </c>
      <c r="H94" s="35" t="s">
        <v>38</v>
      </c>
      <c r="I94" s="54">
        <v>44470</v>
      </c>
      <c r="J94" s="55">
        <f>EFEITO!$J$94*EFEITO!$Y$94</f>
        <v>0</v>
      </c>
      <c r="K94" s="55">
        <f ca="1">EFEITO!$L$94*EFEITO!$Z$94</f>
        <v>27926.134758760072</v>
      </c>
      <c r="L94" s="55">
        <f>EFEITO!$N$94*EFEITO!$AA$94</f>
        <v>0</v>
      </c>
      <c r="M94" s="55">
        <f>$J$94-EFEITO!$K$94*EFEITO!$Y$94</f>
        <v>0</v>
      </c>
      <c r="N94" s="55">
        <f ca="1">$K$94-EFEITO!$M$94*EFEITO!$Z$94</f>
        <v>0</v>
      </c>
      <c r="O94" s="55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5" t="s">
        <v>21</v>
      </c>
      <c r="B95" s="35" t="s">
        <v>35</v>
      </c>
      <c r="C95" s="35" t="s">
        <v>36</v>
      </c>
      <c r="D95" s="35" t="s">
        <v>34</v>
      </c>
      <c r="E95" s="35" t="s">
        <v>25</v>
      </c>
      <c r="F95" s="35" t="s">
        <v>55</v>
      </c>
      <c r="G95" s="35" t="s">
        <v>25</v>
      </c>
      <c r="H95" s="35" t="s">
        <v>38</v>
      </c>
      <c r="I95" s="54">
        <v>44501</v>
      </c>
      <c r="J95" s="55">
        <f>EFEITO!$J$95*EFEITO!$Y$95</f>
        <v>0</v>
      </c>
      <c r="K95" s="55">
        <f ca="1">EFEITO!$L$95*EFEITO!$Z$95</f>
        <v>27523.643336475565</v>
      </c>
      <c r="L95" s="55">
        <f>EFEITO!$N$95*EFEITO!$AA$95</f>
        <v>0</v>
      </c>
      <c r="M95" s="55">
        <f>$J$95-EFEITO!$K$95*EFEITO!$Y$95</f>
        <v>0</v>
      </c>
      <c r="N95" s="55">
        <f ca="1">$K$95-EFEITO!$M$95*EFEITO!$Z$95</f>
        <v>0</v>
      </c>
      <c r="O95" s="55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5" t="s">
        <v>21</v>
      </c>
      <c r="B96" s="35" t="s">
        <v>35</v>
      </c>
      <c r="C96" s="35" t="s">
        <v>36</v>
      </c>
      <c r="D96" s="35" t="s">
        <v>34</v>
      </c>
      <c r="E96" s="35" t="s">
        <v>25</v>
      </c>
      <c r="F96" s="35" t="s">
        <v>55</v>
      </c>
      <c r="G96" s="35" t="s">
        <v>25</v>
      </c>
      <c r="H96" s="35" t="s">
        <v>38</v>
      </c>
      <c r="I96" s="54">
        <v>44531</v>
      </c>
      <c r="J96" s="55">
        <f>EFEITO!$J$96*EFEITO!$Y$96</f>
        <v>0</v>
      </c>
      <c r="K96" s="55">
        <f ca="1">EFEITO!$L$96*EFEITO!$Z$96</f>
        <v>20904.817611119692</v>
      </c>
      <c r="L96" s="55">
        <f>EFEITO!$N$96*EFEITO!$AA$96</f>
        <v>0</v>
      </c>
      <c r="M96" s="55">
        <f>$J$96-EFEITO!$K$96*EFEITO!$Y$96</f>
        <v>0</v>
      </c>
      <c r="N96" s="55">
        <f ca="1">$K$96-EFEITO!$M$96*EFEITO!$Z$96</f>
        <v>0</v>
      </c>
      <c r="O96" s="55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5" t="s">
        <v>21</v>
      </c>
      <c r="B97" s="35" t="s">
        <v>35</v>
      </c>
      <c r="C97" s="35" t="s">
        <v>36</v>
      </c>
      <c r="D97" s="35" t="s">
        <v>34</v>
      </c>
      <c r="E97" s="35" t="s">
        <v>25</v>
      </c>
      <c r="F97" s="35" t="s">
        <v>55</v>
      </c>
      <c r="G97" s="35" t="s">
        <v>25</v>
      </c>
      <c r="H97" s="35" t="s">
        <v>38</v>
      </c>
      <c r="I97" s="54">
        <v>44562</v>
      </c>
      <c r="J97" s="55">
        <f>EFEITO!$J$97*EFEITO!$Y$97</f>
        <v>0</v>
      </c>
      <c r="K97" s="55">
        <f ca="1">EFEITO!$L$97*EFEITO!$Z$97</f>
        <v>28056.125767997517</v>
      </c>
      <c r="L97" s="55">
        <f>EFEITO!$N$97*EFEITO!$AA$97</f>
        <v>0</v>
      </c>
      <c r="M97" s="55">
        <f>$J$97-EFEITO!$K$97*EFEITO!$Y$97</f>
        <v>0</v>
      </c>
      <c r="N97" s="55">
        <f ca="1">$K$97-EFEITO!$M$97*EFEITO!$Z$97</f>
        <v>0</v>
      </c>
      <c r="O97" s="55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5" t="s">
        <v>21</v>
      </c>
      <c r="B98" s="35" t="s">
        <v>35</v>
      </c>
      <c r="C98" s="35" t="s">
        <v>36</v>
      </c>
      <c r="D98" s="35" t="s">
        <v>34</v>
      </c>
      <c r="E98" s="35" t="s">
        <v>25</v>
      </c>
      <c r="F98" s="35" t="s">
        <v>55</v>
      </c>
      <c r="G98" s="35" t="s">
        <v>25</v>
      </c>
      <c r="H98" s="35" t="s">
        <v>38</v>
      </c>
      <c r="I98" s="54">
        <v>44593</v>
      </c>
      <c r="J98" s="55">
        <f>EFEITO!$J$98*EFEITO!$Y$98</f>
        <v>0</v>
      </c>
      <c r="K98" s="55">
        <f ca="1">EFEITO!$L$98*EFEITO!$Z$98</f>
        <v>29549.219725409734</v>
      </c>
      <c r="L98" s="55">
        <f>EFEITO!$N$98*EFEITO!$AA$98</f>
        <v>0</v>
      </c>
      <c r="M98" s="55">
        <f>$J$98-EFEITO!$K$98*EFEITO!$Y$98</f>
        <v>0</v>
      </c>
      <c r="N98" s="55">
        <f ca="1">$K$98-EFEITO!$M$98*EFEITO!$Z$98</f>
        <v>0</v>
      </c>
      <c r="O98" s="55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5" t="s">
        <v>21</v>
      </c>
      <c r="B99" s="35" t="s">
        <v>35</v>
      </c>
      <c r="C99" s="35" t="s">
        <v>36</v>
      </c>
      <c r="D99" s="35" t="s">
        <v>34</v>
      </c>
      <c r="E99" s="35" t="s">
        <v>25</v>
      </c>
      <c r="F99" s="35" t="s">
        <v>55</v>
      </c>
      <c r="G99" s="35" t="s">
        <v>25</v>
      </c>
      <c r="H99" s="35" t="s">
        <v>38</v>
      </c>
      <c r="I99" s="54">
        <v>44621</v>
      </c>
      <c r="J99" s="55">
        <f>EFEITO!$J$99*EFEITO!$Y$99</f>
        <v>0</v>
      </c>
      <c r="K99" s="55">
        <f ca="1">EFEITO!$L$99*EFEITO!$Z$99</f>
        <v>33693.008623112146</v>
      </c>
      <c r="L99" s="55">
        <f>EFEITO!$N$99*EFEITO!$AA$99</f>
        <v>0</v>
      </c>
      <c r="M99" s="55">
        <f>$J$99-EFEITO!$K$99*EFEITO!$Y$99</f>
        <v>0</v>
      </c>
      <c r="N99" s="55">
        <f ca="1">$K$99-EFEITO!$M$99*EFEITO!$Z$99</f>
        <v>0</v>
      </c>
      <c r="O99" s="55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5" t="s">
        <v>21</v>
      </c>
      <c r="B100" s="35" t="s">
        <v>35</v>
      </c>
      <c r="C100" s="35" t="s">
        <v>36</v>
      </c>
      <c r="D100" s="35" t="s">
        <v>34</v>
      </c>
      <c r="E100" s="35" t="s">
        <v>25</v>
      </c>
      <c r="F100" s="35" t="s">
        <v>55</v>
      </c>
      <c r="G100" s="35" t="s">
        <v>25</v>
      </c>
      <c r="H100" s="35" t="s">
        <v>38</v>
      </c>
      <c r="I100" s="54">
        <v>44652</v>
      </c>
      <c r="J100" s="55">
        <f>EFEITO!$J$100*EFEITO!$Y$100</f>
        <v>0</v>
      </c>
      <c r="K100" s="55">
        <f ca="1">EFEITO!$L$100*EFEITO!$Z$100</f>
        <v>33079.907730545397</v>
      </c>
      <c r="L100" s="55">
        <f>EFEITO!$N$100*EFEITO!$AA$100</f>
        <v>0</v>
      </c>
      <c r="M100" s="55">
        <f>$J$100-EFEITO!$K$100*EFEITO!$Y$100</f>
        <v>0</v>
      </c>
      <c r="N100" s="55">
        <f ca="1">$K$100-EFEITO!$M$100*EFEITO!$Z$100</f>
        <v>0</v>
      </c>
      <c r="O100" s="55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5" t="s">
        <v>21</v>
      </c>
      <c r="B101" s="35" t="s">
        <v>35</v>
      </c>
      <c r="C101" s="35" t="s">
        <v>36</v>
      </c>
      <c r="D101" s="35" t="s">
        <v>34</v>
      </c>
      <c r="E101" s="35" t="s">
        <v>25</v>
      </c>
      <c r="F101" s="35" t="s">
        <v>55</v>
      </c>
      <c r="G101" s="35" t="s">
        <v>25</v>
      </c>
      <c r="H101" s="35" t="s">
        <v>38</v>
      </c>
      <c r="I101" s="54">
        <v>44682</v>
      </c>
      <c r="J101" s="55">
        <f>EFEITO!$J$101*EFEITO!$Y$101</f>
        <v>0</v>
      </c>
      <c r="K101" s="55">
        <f ca="1">EFEITO!$L$101*EFEITO!$Z$101</f>
        <v>42638.853678700114</v>
      </c>
      <c r="L101" s="55">
        <f>EFEITO!$N$101*EFEITO!$AA$101</f>
        <v>0</v>
      </c>
      <c r="M101" s="55">
        <f>$J$101-EFEITO!$K$101*EFEITO!$Y$101</f>
        <v>0</v>
      </c>
      <c r="N101" s="55">
        <f ca="1">$K$101-EFEITO!$M$101*EFEITO!$Z$101</f>
        <v>0</v>
      </c>
      <c r="O101" s="55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5" t="s">
        <v>21</v>
      </c>
      <c r="B102" s="35" t="s">
        <v>35</v>
      </c>
      <c r="C102" s="35" t="s">
        <v>36</v>
      </c>
      <c r="D102" s="35" t="s">
        <v>34</v>
      </c>
      <c r="E102" s="35" t="s">
        <v>25</v>
      </c>
      <c r="F102" s="35" t="s">
        <v>55</v>
      </c>
      <c r="G102" s="35" t="s">
        <v>25</v>
      </c>
      <c r="H102" s="35" t="s">
        <v>38</v>
      </c>
      <c r="I102" s="54">
        <v>44713</v>
      </c>
      <c r="J102" s="55">
        <f>EFEITO!$J$102*EFEITO!$Y$102</f>
        <v>0</v>
      </c>
      <c r="K102" s="55">
        <f ca="1">EFEITO!$L$102*EFEITO!$Z$102</f>
        <v>22993.586855854184</v>
      </c>
      <c r="L102" s="55">
        <f>EFEITO!$N$102*EFEITO!$AA$102</f>
        <v>0</v>
      </c>
      <c r="M102" s="55">
        <f>$J$102-EFEITO!$K$102*EFEITO!$Y$102</f>
        <v>0</v>
      </c>
      <c r="N102" s="55">
        <f ca="1">$K$102-EFEITO!$M$102*EFEITO!$Z$102</f>
        <v>0</v>
      </c>
      <c r="O102" s="55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5" t="s">
        <v>21</v>
      </c>
      <c r="B103" s="35" t="s">
        <v>35</v>
      </c>
      <c r="C103" s="35" t="s">
        <v>36</v>
      </c>
      <c r="D103" s="35" t="s">
        <v>34</v>
      </c>
      <c r="E103" s="35" t="s">
        <v>25</v>
      </c>
      <c r="F103" s="35" t="s">
        <v>55</v>
      </c>
      <c r="G103" s="35" t="s">
        <v>25</v>
      </c>
      <c r="H103" s="35" t="s">
        <v>38</v>
      </c>
      <c r="I103" s="54">
        <v>44743</v>
      </c>
      <c r="J103" s="55">
        <f>EFEITO!$J$103*EFEITO!$Y$103</f>
        <v>0</v>
      </c>
      <c r="K103" s="55">
        <f ca="1">EFEITO!$L$103*EFEITO!$Z$103</f>
        <v>24888.371058298289</v>
      </c>
      <c r="L103" s="55">
        <f>EFEITO!$N$103*EFEITO!$AA$103</f>
        <v>0</v>
      </c>
      <c r="M103" s="55">
        <f>$J$103-EFEITO!$K$103*EFEITO!$Y$103</f>
        <v>0</v>
      </c>
      <c r="N103" s="55">
        <f ca="1">$K$103-EFEITO!$M$103*EFEITO!$Z$103</f>
        <v>0</v>
      </c>
      <c r="O103" s="55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5" t="s">
        <v>21</v>
      </c>
      <c r="B104" s="35" t="s">
        <v>35</v>
      </c>
      <c r="C104" s="35" t="s">
        <v>36</v>
      </c>
      <c r="D104" s="35" t="s">
        <v>34</v>
      </c>
      <c r="E104" s="35" t="s">
        <v>25</v>
      </c>
      <c r="F104" s="35" t="s">
        <v>55</v>
      </c>
      <c r="G104" s="35" t="s">
        <v>25</v>
      </c>
      <c r="H104" s="35" t="s">
        <v>38</v>
      </c>
      <c r="I104" s="54">
        <v>44774</v>
      </c>
      <c r="J104" s="55">
        <f>EFEITO!$J$104*EFEITO!$Y$104</f>
        <v>0</v>
      </c>
      <c r="K104" s="55">
        <f ca="1">EFEITO!$L$104*EFEITO!$Z$104</f>
        <v>31021.483074253854</v>
      </c>
      <c r="L104" s="55">
        <f>EFEITO!$N$104*EFEITO!$AA$104</f>
        <v>0</v>
      </c>
      <c r="M104" s="55">
        <f>$J$104-EFEITO!$K$104*EFEITO!$Y$104</f>
        <v>0</v>
      </c>
      <c r="N104" s="55">
        <f ca="1">$K$104-EFEITO!$M$104*EFEITO!$Z$104</f>
        <v>0</v>
      </c>
      <c r="O104" s="55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5" t="s">
        <v>21</v>
      </c>
      <c r="B105" s="35" t="s">
        <v>35</v>
      </c>
      <c r="C105" s="35" t="s">
        <v>36</v>
      </c>
      <c r="D105" s="35" t="s">
        <v>34</v>
      </c>
      <c r="E105" s="35" t="s">
        <v>25</v>
      </c>
      <c r="F105" s="35" t="s">
        <v>55</v>
      </c>
      <c r="G105" s="35" t="s">
        <v>25</v>
      </c>
      <c r="H105" s="35" t="s">
        <v>25</v>
      </c>
      <c r="I105" s="54">
        <v>44440</v>
      </c>
      <c r="J105" s="55">
        <f ca="1">EFEITO!$J$105*EFEITO!$Y$105</f>
        <v>15141.738470858865</v>
      </c>
      <c r="K105" s="55">
        <f>EFEITO!$L$105*EFEITO!$Z$105</f>
        <v>0</v>
      </c>
      <c r="L105" s="55">
        <f>EFEITO!$N$105*EFEITO!$AA$105</f>
        <v>0</v>
      </c>
      <c r="M105" s="55">
        <f ca="1">$J$105-EFEITO!$K$105*EFEITO!$Y$105</f>
        <v>7570.8692354294326</v>
      </c>
      <c r="N105" s="55">
        <f>$K$105-EFEITO!$M$105*EFEITO!$Z$105</f>
        <v>0</v>
      </c>
      <c r="O105" s="55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5" t="s">
        <v>21</v>
      </c>
      <c r="B106" s="35" t="s">
        <v>35</v>
      </c>
      <c r="C106" s="35" t="s">
        <v>36</v>
      </c>
      <c r="D106" s="35" t="s">
        <v>34</v>
      </c>
      <c r="E106" s="35" t="s">
        <v>25</v>
      </c>
      <c r="F106" s="35" t="s">
        <v>55</v>
      </c>
      <c r="G106" s="35" t="s">
        <v>25</v>
      </c>
      <c r="H106" s="35" t="s">
        <v>25</v>
      </c>
      <c r="I106" s="54">
        <v>44470</v>
      </c>
      <c r="J106" s="55">
        <f ca="1">EFEITO!$J$106*EFEITO!$Y$106</f>
        <v>15141.738470858865</v>
      </c>
      <c r="K106" s="55">
        <f>EFEITO!$L$106*EFEITO!$Z$106</f>
        <v>0</v>
      </c>
      <c r="L106" s="55">
        <f>EFEITO!$N$106*EFEITO!$AA$106</f>
        <v>0</v>
      </c>
      <c r="M106" s="55">
        <f ca="1">$J$106-EFEITO!$K$106*EFEITO!$Y$106</f>
        <v>7570.8692354294326</v>
      </c>
      <c r="N106" s="55">
        <f>$K$106-EFEITO!$M$106*EFEITO!$Z$106</f>
        <v>0</v>
      </c>
      <c r="O106" s="55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5" t="s">
        <v>21</v>
      </c>
      <c r="B107" s="35" t="s">
        <v>35</v>
      </c>
      <c r="C107" s="35" t="s">
        <v>36</v>
      </c>
      <c r="D107" s="35" t="s">
        <v>34</v>
      </c>
      <c r="E107" s="35" t="s">
        <v>25</v>
      </c>
      <c r="F107" s="35" t="s">
        <v>55</v>
      </c>
      <c r="G107" s="35" t="s">
        <v>25</v>
      </c>
      <c r="H107" s="35" t="s">
        <v>25</v>
      </c>
      <c r="I107" s="54">
        <v>44501</v>
      </c>
      <c r="J107" s="55">
        <f ca="1">EFEITO!$J$107*EFEITO!$Y$107</f>
        <v>15141.738470858865</v>
      </c>
      <c r="K107" s="55">
        <f>EFEITO!$L$107*EFEITO!$Z$107</f>
        <v>0</v>
      </c>
      <c r="L107" s="55">
        <f>EFEITO!$N$107*EFEITO!$AA$107</f>
        <v>0</v>
      </c>
      <c r="M107" s="55">
        <f ca="1">$J$107-EFEITO!$K$107*EFEITO!$Y$107</f>
        <v>7570.8692354294326</v>
      </c>
      <c r="N107" s="55">
        <f>$K$107-EFEITO!$M$107*EFEITO!$Z$107</f>
        <v>0</v>
      </c>
      <c r="O107" s="55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5" t="s">
        <v>21</v>
      </c>
      <c r="B108" s="35" t="s">
        <v>35</v>
      </c>
      <c r="C108" s="35" t="s">
        <v>36</v>
      </c>
      <c r="D108" s="35" t="s">
        <v>34</v>
      </c>
      <c r="E108" s="35" t="s">
        <v>25</v>
      </c>
      <c r="F108" s="35" t="s">
        <v>55</v>
      </c>
      <c r="G108" s="35" t="s">
        <v>25</v>
      </c>
      <c r="H108" s="35" t="s">
        <v>25</v>
      </c>
      <c r="I108" s="54">
        <v>44531</v>
      </c>
      <c r="J108" s="55">
        <f ca="1">EFEITO!$J$108*EFEITO!$Y$108</f>
        <v>15534.302060844095</v>
      </c>
      <c r="K108" s="55">
        <f>EFEITO!$L$108*EFEITO!$Z$108</f>
        <v>0</v>
      </c>
      <c r="L108" s="55">
        <f>EFEITO!$N$108*EFEITO!$AA$108</f>
        <v>0</v>
      </c>
      <c r="M108" s="55">
        <f ca="1">$J$108-EFEITO!$K$108*EFEITO!$Y$108</f>
        <v>7767.1510304220474</v>
      </c>
      <c r="N108" s="55">
        <f>$K$108-EFEITO!$M$108*EFEITO!$Z$108</f>
        <v>0</v>
      </c>
      <c r="O108" s="55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5" t="s">
        <v>21</v>
      </c>
      <c r="B109" s="35" t="s">
        <v>35</v>
      </c>
      <c r="C109" s="35" t="s">
        <v>36</v>
      </c>
      <c r="D109" s="35" t="s">
        <v>34</v>
      </c>
      <c r="E109" s="35" t="s">
        <v>25</v>
      </c>
      <c r="F109" s="35" t="s">
        <v>55</v>
      </c>
      <c r="G109" s="35" t="s">
        <v>25</v>
      </c>
      <c r="H109" s="35" t="s">
        <v>25</v>
      </c>
      <c r="I109" s="54">
        <v>44562</v>
      </c>
      <c r="J109" s="55">
        <f ca="1">EFEITO!$J$109*EFEITO!$Y$109</f>
        <v>15730.58385583671</v>
      </c>
      <c r="K109" s="55">
        <f>EFEITO!$L$109*EFEITO!$Z$109</f>
        <v>0</v>
      </c>
      <c r="L109" s="55">
        <f>EFEITO!$N$109*EFEITO!$AA$109</f>
        <v>0</v>
      </c>
      <c r="M109" s="55">
        <f ca="1">$J$109-EFEITO!$K$109*EFEITO!$Y$109</f>
        <v>7865.2919279183552</v>
      </c>
      <c r="N109" s="55">
        <f>$K$109-EFEITO!$M$109*EFEITO!$Z$109</f>
        <v>0</v>
      </c>
      <c r="O109" s="55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5" t="s">
        <v>21</v>
      </c>
      <c r="B110" s="35" t="s">
        <v>35</v>
      </c>
      <c r="C110" s="35" t="s">
        <v>36</v>
      </c>
      <c r="D110" s="35" t="s">
        <v>34</v>
      </c>
      <c r="E110" s="35" t="s">
        <v>25</v>
      </c>
      <c r="F110" s="35" t="s">
        <v>55</v>
      </c>
      <c r="G110" s="35" t="s">
        <v>25</v>
      </c>
      <c r="H110" s="35" t="s">
        <v>25</v>
      </c>
      <c r="I110" s="54">
        <v>44593</v>
      </c>
      <c r="J110" s="55">
        <f ca="1">EFEITO!$J$110*EFEITO!$Y$110</f>
        <v>16768.073343654818</v>
      </c>
      <c r="K110" s="55">
        <f>EFEITO!$L$110*EFEITO!$Z$110</f>
        <v>0</v>
      </c>
      <c r="L110" s="55">
        <f>EFEITO!$N$110*EFEITO!$AA$110</f>
        <v>0</v>
      </c>
      <c r="M110" s="55">
        <f ca="1">$J$110-EFEITO!$K$110*EFEITO!$Y$110</f>
        <v>8384.036671827409</v>
      </c>
      <c r="N110" s="55">
        <f>$K$110-EFEITO!$M$110*EFEITO!$Z$110</f>
        <v>0</v>
      </c>
      <c r="O110" s="55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5" t="s">
        <v>21</v>
      </c>
      <c r="B111" s="35" t="s">
        <v>35</v>
      </c>
      <c r="C111" s="35" t="s">
        <v>36</v>
      </c>
      <c r="D111" s="35" t="s">
        <v>34</v>
      </c>
      <c r="E111" s="35" t="s">
        <v>25</v>
      </c>
      <c r="F111" s="35" t="s">
        <v>55</v>
      </c>
      <c r="G111" s="35" t="s">
        <v>25</v>
      </c>
      <c r="H111" s="35" t="s">
        <v>25</v>
      </c>
      <c r="I111" s="54">
        <v>44621</v>
      </c>
      <c r="J111" s="55">
        <f ca="1">EFEITO!$J$111*EFEITO!$Y$111</f>
        <v>16852.194112937366</v>
      </c>
      <c r="K111" s="55">
        <f>EFEITO!$L$111*EFEITO!$Z$111</f>
        <v>0</v>
      </c>
      <c r="L111" s="55">
        <f>EFEITO!$N$111*EFEITO!$AA$111</f>
        <v>0</v>
      </c>
      <c r="M111" s="55">
        <f ca="1">$J$111-EFEITO!$K$111*EFEITO!$Y$111</f>
        <v>8426.0970564686831</v>
      </c>
      <c r="N111" s="55">
        <f>$K$111-EFEITO!$M$111*EFEITO!$Z$111</f>
        <v>0</v>
      </c>
      <c r="O111" s="55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5" t="s">
        <v>21</v>
      </c>
      <c r="B112" s="35" t="s">
        <v>35</v>
      </c>
      <c r="C112" s="35" t="s">
        <v>36</v>
      </c>
      <c r="D112" s="35" t="s">
        <v>34</v>
      </c>
      <c r="E112" s="35" t="s">
        <v>25</v>
      </c>
      <c r="F112" s="35" t="s">
        <v>55</v>
      </c>
      <c r="G112" s="35" t="s">
        <v>25</v>
      </c>
      <c r="H112" s="35" t="s">
        <v>25</v>
      </c>
      <c r="I112" s="54">
        <v>44652</v>
      </c>
      <c r="J112" s="55">
        <f ca="1">EFEITO!$J$112*EFEITO!$Y$112</f>
        <v>16964.355138647432</v>
      </c>
      <c r="K112" s="55">
        <f>EFEITO!$L$112*EFEITO!$Z$112</f>
        <v>0</v>
      </c>
      <c r="L112" s="55">
        <f>EFEITO!$N$112*EFEITO!$AA$112</f>
        <v>0</v>
      </c>
      <c r="M112" s="55">
        <f ca="1">$J$112-EFEITO!$K$112*EFEITO!$Y$112</f>
        <v>8482.1775693237159</v>
      </c>
      <c r="N112" s="55">
        <f>$K$112-EFEITO!$M$112*EFEITO!$Z$112</f>
        <v>0</v>
      </c>
      <c r="O112" s="55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5" t="s">
        <v>21</v>
      </c>
      <c r="B113" s="35" t="s">
        <v>35</v>
      </c>
      <c r="C113" s="35" t="s">
        <v>36</v>
      </c>
      <c r="D113" s="35" t="s">
        <v>34</v>
      </c>
      <c r="E113" s="35" t="s">
        <v>25</v>
      </c>
      <c r="F113" s="35" t="s">
        <v>55</v>
      </c>
      <c r="G113" s="35" t="s">
        <v>25</v>
      </c>
      <c r="H113" s="35" t="s">
        <v>25</v>
      </c>
      <c r="I113" s="54">
        <v>44682</v>
      </c>
      <c r="J113" s="55">
        <f ca="1">EFEITO!$J$113*EFEITO!$Y$113</f>
        <v>33592.227200164671</v>
      </c>
      <c r="K113" s="55">
        <f>EFEITO!$L$113*EFEITO!$Z$113</f>
        <v>0</v>
      </c>
      <c r="L113" s="55">
        <f>EFEITO!$N$113*EFEITO!$AA$113</f>
        <v>0</v>
      </c>
      <c r="M113" s="55">
        <f ca="1">$J$113-EFEITO!$K$113*EFEITO!$Y$113</f>
        <v>16796.113600082335</v>
      </c>
      <c r="N113" s="55">
        <f>$K$113-EFEITO!$M$113*EFEITO!$Z$113</f>
        <v>0</v>
      </c>
      <c r="O113" s="55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5" t="s">
        <v>21</v>
      </c>
      <c r="B114" s="35" t="s">
        <v>35</v>
      </c>
      <c r="C114" s="35" t="s">
        <v>36</v>
      </c>
      <c r="D114" s="35" t="s">
        <v>34</v>
      </c>
      <c r="E114" s="35" t="s">
        <v>25</v>
      </c>
      <c r="F114" s="35" t="s">
        <v>55</v>
      </c>
      <c r="G114" s="35" t="s">
        <v>25</v>
      </c>
      <c r="H114" s="35" t="s">
        <v>25</v>
      </c>
      <c r="I114" s="54">
        <v>44713</v>
      </c>
      <c r="J114" s="55">
        <f ca="1">EFEITO!$J$114*EFEITO!$Y$114</f>
        <v>33508.106430882122</v>
      </c>
      <c r="K114" s="55">
        <f>EFEITO!$L$114*EFEITO!$Z$114</f>
        <v>0</v>
      </c>
      <c r="L114" s="55">
        <f>EFEITO!$N$114*EFEITO!$AA$114</f>
        <v>0</v>
      </c>
      <c r="M114" s="55">
        <f ca="1">$J$114-EFEITO!$K$114*EFEITO!$Y$114</f>
        <v>16754.053215441061</v>
      </c>
      <c r="N114" s="55">
        <f>$K$114-EFEITO!$M$114*EFEITO!$Z$114</f>
        <v>0</v>
      </c>
      <c r="O114" s="55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5" t="s">
        <v>21</v>
      </c>
      <c r="B115" s="35" t="s">
        <v>35</v>
      </c>
      <c r="C115" s="35" t="s">
        <v>36</v>
      </c>
      <c r="D115" s="35" t="s">
        <v>34</v>
      </c>
      <c r="E115" s="35" t="s">
        <v>25</v>
      </c>
      <c r="F115" s="35" t="s">
        <v>55</v>
      </c>
      <c r="G115" s="35" t="s">
        <v>25</v>
      </c>
      <c r="H115" s="35" t="s">
        <v>25</v>
      </c>
      <c r="I115" s="54">
        <v>44743</v>
      </c>
      <c r="J115" s="55">
        <f ca="1">EFEITO!$J$115*EFEITO!$Y$115</f>
        <v>31965.892327368718</v>
      </c>
      <c r="K115" s="55">
        <f>EFEITO!$L$115*EFEITO!$Z$115</f>
        <v>0</v>
      </c>
      <c r="L115" s="55">
        <f>EFEITO!$N$115*EFEITO!$AA$115</f>
        <v>0</v>
      </c>
      <c r="M115" s="55">
        <f ca="1">$J$115-EFEITO!$K$115*EFEITO!$Y$115</f>
        <v>15982.946163684359</v>
      </c>
      <c r="N115" s="55">
        <f>$K$115-EFEITO!$M$115*EFEITO!$Z$115</f>
        <v>0</v>
      </c>
      <c r="O115" s="55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5" t="s">
        <v>21</v>
      </c>
      <c r="B116" s="35" t="s">
        <v>35</v>
      </c>
      <c r="C116" s="35" t="s">
        <v>36</v>
      </c>
      <c r="D116" s="35" t="s">
        <v>34</v>
      </c>
      <c r="E116" s="35" t="s">
        <v>25</v>
      </c>
      <c r="F116" s="35" t="s">
        <v>55</v>
      </c>
      <c r="G116" s="35" t="s">
        <v>25</v>
      </c>
      <c r="H116" s="35" t="s">
        <v>25</v>
      </c>
      <c r="I116" s="54">
        <v>44774</v>
      </c>
      <c r="J116" s="55">
        <f ca="1">EFEITO!$J$116*EFEITO!$Y$116</f>
        <v>31965.892327368718</v>
      </c>
      <c r="K116" s="55">
        <f>EFEITO!$L$116*EFEITO!$Z$116</f>
        <v>0</v>
      </c>
      <c r="L116" s="55">
        <f>EFEITO!$N$116*EFEITO!$AA$116</f>
        <v>0</v>
      </c>
      <c r="M116" s="55">
        <f ca="1">$J$116-EFEITO!$K$116*EFEITO!$Y$116</f>
        <v>15982.946163684359</v>
      </c>
      <c r="N116" s="55">
        <f>$K$116-EFEITO!$M$116*EFEITO!$Z$116</f>
        <v>0</v>
      </c>
      <c r="O116" s="55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5" t="s">
        <v>21</v>
      </c>
      <c r="B117" s="35" t="s">
        <v>35</v>
      </c>
      <c r="C117" s="35" t="s">
        <v>36</v>
      </c>
      <c r="D117" s="35" t="s">
        <v>34</v>
      </c>
      <c r="E117" s="35" t="s">
        <v>25</v>
      </c>
      <c r="F117" s="35" t="s">
        <v>55</v>
      </c>
      <c r="G117" s="35" t="s">
        <v>25</v>
      </c>
      <c r="H117" s="35" t="s">
        <v>37</v>
      </c>
      <c r="I117" s="54">
        <v>44440</v>
      </c>
      <c r="J117" s="55">
        <f>EFEITO!$J$117*EFEITO!$Y$117</f>
        <v>0</v>
      </c>
      <c r="K117" s="55">
        <f ca="1">EFEITO!$L$117*EFEITO!$Z$117</f>
        <v>50842.249383869632</v>
      </c>
      <c r="L117" s="55">
        <f>EFEITO!$N$117*EFEITO!$AA$117</f>
        <v>0</v>
      </c>
      <c r="M117" s="55">
        <f>$J$117-EFEITO!$K$117*EFEITO!$Y$117</f>
        <v>0</v>
      </c>
      <c r="N117" s="55">
        <f ca="1">$K$117-EFEITO!$M$117*EFEITO!$Z$117</f>
        <v>24607.648701792903</v>
      </c>
      <c r="O117" s="55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5" t="s">
        <v>21</v>
      </c>
      <c r="B118" s="35" t="s">
        <v>35</v>
      </c>
      <c r="C118" s="35" t="s">
        <v>36</v>
      </c>
      <c r="D118" s="35" t="s">
        <v>34</v>
      </c>
      <c r="E118" s="35" t="s">
        <v>25</v>
      </c>
      <c r="F118" s="35" t="s">
        <v>55</v>
      </c>
      <c r="G118" s="35" t="s">
        <v>25</v>
      </c>
      <c r="H118" s="35" t="s">
        <v>37</v>
      </c>
      <c r="I118" s="54">
        <v>44470</v>
      </c>
      <c r="J118" s="55">
        <f>EFEITO!$J$118*EFEITO!$Y$118</f>
        <v>0</v>
      </c>
      <c r="K118" s="55">
        <f ca="1">EFEITO!$L$118*EFEITO!$Z$118</f>
        <v>53749.097329975833</v>
      </c>
      <c r="L118" s="55">
        <f>EFEITO!$N$118*EFEITO!$AA$118</f>
        <v>0</v>
      </c>
      <c r="M118" s="55">
        <f>$J$118-EFEITO!$K$118*EFEITO!$Y$118</f>
        <v>0</v>
      </c>
      <c r="N118" s="55">
        <f ca="1">$K$118-EFEITO!$M$118*EFEITO!$Z$118</f>
        <v>26084.436934237274</v>
      </c>
      <c r="O118" s="55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5" t="s">
        <v>21</v>
      </c>
      <c r="B119" s="35" t="s">
        <v>35</v>
      </c>
      <c r="C119" s="35" t="s">
        <v>36</v>
      </c>
      <c r="D119" s="35" t="s">
        <v>34</v>
      </c>
      <c r="E119" s="35" t="s">
        <v>25</v>
      </c>
      <c r="F119" s="35" t="s">
        <v>55</v>
      </c>
      <c r="G119" s="35" t="s">
        <v>25</v>
      </c>
      <c r="H119" s="35" t="s">
        <v>37</v>
      </c>
      <c r="I119" s="54">
        <v>44501</v>
      </c>
      <c r="J119" s="55">
        <f>EFEITO!$J$119*EFEITO!$Y$119</f>
        <v>0</v>
      </c>
      <c r="K119" s="55">
        <f ca="1">EFEITO!$L$119*EFEITO!$Z$119</f>
        <v>55170.517282361849</v>
      </c>
      <c r="L119" s="55">
        <f>EFEITO!$N$119*EFEITO!$AA$119</f>
        <v>0</v>
      </c>
      <c r="M119" s="55">
        <f>$J$119-EFEITO!$K$119*EFEITO!$Y$119</f>
        <v>0</v>
      </c>
      <c r="N119" s="55">
        <f ca="1">$K$119-EFEITO!$M$119*EFEITO!$Z$119</f>
        <v>26774.252037130205</v>
      </c>
      <c r="O119" s="55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5" t="s">
        <v>21</v>
      </c>
      <c r="B120" s="35" t="s">
        <v>35</v>
      </c>
      <c r="C120" s="35" t="s">
        <v>36</v>
      </c>
      <c r="D120" s="35" t="s">
        <v>34</v>
      </c>
      <c r="E120" s="35" t="s">
        <v>25</v>
      </c>
      <c r="F120" s="35" t="s">
        <v>55</v>
      </c>
      <c r="G120" s="35" t="s">
        <v>25</v>
      </c>
      <c r="H120" s="35" t="s">
        <v>37</v>
      </c>
      <c r="I120" s="54">
        <v>44531</v>
      </c>
      <c r="J120" s="55">
        <f>EFEITO!$J$120*EFEITO!$Y$120</f>
        <v>0</v>
      </c>
      <c r="K120" s="55">
        <f ca="1">EFEITO!$L$120*EFEITO!$Z$120</f>
        <v>42589.626399442081</v>
      </c>
      <c r="L120" s="55">
        <f>EFEITO!$N$120*EFEITO!$AA$120</f>
        <v>0</v>
      </c>
      <c r="M120" s="55">
        <f>$J$120-EFEITO!$K$120*EFEITO!$Y$120</f>
        <v>0</v>
      </c>
      <c r="N120" s="55">
        <f ca="1">$K$120-EFEITO!$M$120*EFEITO!$Z$120</f>
        <v>20668.745691649241</v>
      </c>
      <c r="O120" s="55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5" t="s">
        <v>21</v>
      </c>
      <c r="B121" s="35" t="s">
        <v>35</v>
      </c>
      <c r="C121" s="35" t="s">
        <v>36</v>
      </c>
      <c r="D121" s="35" t="s">
        <v>34</v>
      </c>
      <c r="E121" s="35" t="s">
        <v>25</v>
      </c>
      <c r="F121" s="35" t="s">
        <v>55</v>
      </c>
      <c r="G121" s="35" t="s">
        <v>25</v>
      </c>
      <c r="H121" s="35" t="s">
        <v>37</v>
      </c>
      <c r="I121" s="54">
        <v>44562</v>
      </c>
      <c r="J121" s="55">
        <f>EFEITO!$J$121*EFEITO!$Y$121</f>
        <v>0</v>
      </c>
      <c r="K121" s="55">
        <f ca="1">EFEITO!$L$121*EFEITO!$Z$121</f>
        <v>60169.766027943129</v>
      </c>
      <c r="L121" s="55">
        <f>EFEITO!$N$121*EFEITO!$AA$121</f>
        <v>0</v>
      </c>
      <c r="M121" s="55">
        <f>$J$121-EFEITO!$K$121*EFEITO!$Y$121</f>
        <v>0</v>
      </c>
      <c r="N121" s="55">
        <f ca="1">$K$121-EFEITO!$M$121*EFEITO!$Z$121</f>
        <v>29200.387453360803</v>
      </c>
      <c r="O121" s="55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5" t="s">
        <v>21</v>
      </c>
      <c r="B122" s="35" t="s">
        <v>35</v>
      </c>
      <c r="C122" s="35" t="s">
        <v>36</v>
      </c>
      <c r="D122" s="35" t="s">
        <v>34</v>
      </c>
      <c r="E122" s="35" t="s">
        <v>25</v>
      </c>
      <c r="F122" s="35" t="s">
        <v>55</v>
      </c>
      <c r="G122" s="35" t="s">
        <v>25</v>
      </c>
      <c r="H122" s="35" t="s">
        <v>37</v>
      </c>
      <c r="I122" s="54">
        <v>44593</v>
      </c>
      <c r="J122" s="55">
        <f>EFEITO!$J$122*EFEITO!$Y$122</f>
        <v>0</v>
      </c>
      <c r="K122" s="55">
        <f ca="1">EFEITO!$L$122*EFEITO!$Z$122</f>
        <v>61792.038799688045</v>
      </c>
      <c r="L122" s="55">
        <f>EFEITO!$N$122*EFEITO!$AA$122</f>
        <v>0</v>
      </c>
      <c r="M122" s="55">
        <f>$J$122-EFEITO!$K$122*EFEITO!$Y$122</f>
        <v>0</v>
      </c>
      <c r="N122" s="55">
        <f ca="1">$K$122-EFEITO!$M$122*EFEITO!$Z$122</f>
        <v>29987.676429488609</v>
      </c>
      <c r="O122" s="55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5" t="s">
        <v>21</v>
      </c>
      <c r="B123" s="35" t="s">
        <v>35</v>
      </c>
      <c r="C123" s="35" t="s">
        <v>36</v>
      </c>
      <c r="D123" s="35" t="s">
        <v>34</v>
      </c>
      <c r="E123" s="35" t="s">
        <v>25</v>
      </c>
      <c r="F123" s="35" t="s">
        <v>55</v>
      </c>
      <c r="G123" s="35" t="s">
        <v>25</v>
      </c>
      <c r="H123" s="35" t="s">
        <v>37</v>
      </c>
      <c r="I123" s="54">
        <v>44621</v>
      </c>
      <c r="J123" s="55">
        <f>EFEITO!$J$123*EFEITO!$Y$123</f>
        <v>0</v>
      </c>
      <c r="K123" s="55">
        <f ca="1">EFEITO!$L$123*EFEITO!$Z$123</f>
        <v>71360.137392224409</v>
      </c>
      <c r="L123" s="55">
        <f>EFEITO!$N$123*EFEITO!$AA$123</f>
        <v>0</v>
      </c>
      <c r="M123" s="55">
        <f>$J$123-EFEITO!$K$123*EFEITO!$Y$123</f>
        <v>0</v>
      </c>
      <c r="N123" s="55">
        <f ca="1">$K$123-EFEITO!$M$123*EFEITO!$Z$123</f>
        <v>34631.074676446515</v>
      </c>
      <c r="O123" s="55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5" t="s">
        <v>21</v>
      </c>
      <c r="B124" s="35" t="s">
        <v>35</v>
      </c>
      <c r="C124" s="35" t="s">
        <v>36</v>
      </c>
      <c r="D124" s="35" t="s">
        <v>34</v>
      </c>
      <c r="E124" s="35" t="s">
        <v>25</v>
      </c>
      <c r="F124" s="35" t="s">
        <v>55</v>
      </c>
      <c r="G124" s="35" t="s">
        <v>25</v>
      </c>
      <c r="H124" s="35" t="s">
        <v>37</v>
      </c>
      <c r="I124" s="54">
        <v>44652</v>
      </c>
      <c r="J124" s="55">
        <f>EFEITO!$J$124*EFEITO!$Y$124</f>
        <v>0</v>
      </c>
      <c r="K124" s="55">
        <f ca="1">EFEITO!$L$124*EFEITO!$Z$124</f>
        <v>63003.777237358743</v>
      </c>
      <c r="L124" s="55">
        <f>EFEITO!$N$124*EFEITO!$AA$124</f>
        <v>0</v>
      </c>
      <c r="M124" s="55">
        <f>$J$124-EFEITO!$K$124*EFEITO!$Y$124</f>
        <v>0</v>
      </c>
      <c r="N124" s="55">
        <f ca="1">$K$124-EFEITO!$M$124*EFEITO!$Z$124</f>
        <v>30575.7330932902</v>
      </c>
      <c r="O124" s="55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5" t="s">
        <v>21</v>
      </c>
      <c r="B125" s="35" t="s">
        <v>35</v>
      </c>
      <c r="C125" s="35" t="s">
        <v>36</v>
      </c>
      <c r="D125" s="35" t="s">
        <v>34</v>
      </c>
      <c r="E125" s="35" t="s">
        <v>25</v>
      </c>
      <c r="F125" s="35" t="s">
        <v>55</v>
      </c>
      <c r="G125" s="35" t="s">
        <v>25</v>
      </c>
      <c r="H125" s="35" t="s">
        <v>37</v>
      </c>
      <c r="I125" s="54">
        <v>44682</v>
      </c>
      <c r="J125" s="55">
        <f>EFEITO!$J$125*EFEITO!$Y$125</f>
        <v>0</v>
      </c>
      <c r="K125" s="55">
        <f ca="1">EFEITO!$L$125*EFEITO!$Z$125</f>
        <v>95049.734207378409</v>
      </c>
      <c r="L125" s="55">
        <f>EFEITO!$N$125*EFEITO!$AA$125</f>
        <v>0</v>
      </c>
      <c r="M125" s="55">
        <f>$J$125-EFEITO!$K$125*EFEITO!$Y$125</f>
        <v>0</v>
      </c>
      <c r="N125" s="55">
        <f ca="1">$K$125-EFEITO!$M$125*EFEITO!$Z$125</f>
        <v>46127.636010840739</v>
      </c>
      <c r="O125" s="55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5" t="s">
        <v>21</v>
      </c>
      <c r="B126" s="35" t="s">
        <v>35</v>
      </c>
      <c r="C126" s="35" t="s">
        <v>36</v>
      </c>
      <c r="D126" s="35" t="s">
        <v>34</v>
      </c>
      <c r="E126" s="35" t="s">
        <v>25</v>
      </c>
      <c r="F126" s="35" t="s">
        <v>55</v>
      </c>
      <c r="G126" s="35" t="s">
        <v>25</v>
      </c>
      <c r="H126" s="35" t="s">
        <v>37</v>
      </c>
      <c r="I126" s="54">
        <v>44713</v>
      </c>
      <c r="J126" s="55">
        <f>EFEITO!$J$126*EFEITO!$Y$126</f>
        <v>0</v>
      </c>
      <c r="K126" s="55">
        <f ca="1">EFEITO!$L$126*EFEITO!$Z$126</f>
        <v>47469.687757711494</v>
      </c>
      <c r="L126" s="55">
        <f>EFEITO!$N$126*EFEITO!$AA$126</f>
        <v>0</v>
      </c>
      <c r="M126" s="55">
        <f>$J$126-EFEITO!$K$126*EFEITO!$Y$126</f>
        <v>0</v>
      </c>
      <c r="N126" s="55">
        <f ca="1">$K$126-EFEITO!$M$126*EFEITO!$Z$126</f>
        <v>23037.039468817391</v>
      </c>
      <c r="O126" s="55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5" t="s">
        <v>21</v>
      </c>
      <c r="B127" s="35" t="s">
        <v>35</v>
      </c>
      <c r="C127" s="35" t="s">
        <v>36</v>
      </c>
      <c r="D127" s="35" t="s">
        <v>34</v>
      </c>
      <c r="E127" s="35" t="s">
        <v>25</v>
      </c>
      <c r="F127" s="35" t="s">
        <v>55</v>
      </c>
      <c r="G127" s="35" t="s">
        <v>25</v>
      </c>
      <c r="H127" s="35" t="s">
        <v>37</v>
      </c>
      <c r="I127" s="54">
        <v>44743</v>
      </c>
      <c r="J127" s="55">
        <f>EFEITO!$J$127*EFEITO!$Y$127</f>
        <v>0</v>
      </c>
      <c r="K127" s="55">
        <f ca="1">EFEITO!$L$127*EFEITO!$Z$127</f>
        <v>51981.151084849735</v>
      </c>
      <c r="L127" s="55">
        <f>EFEITO!$N$127*EFEITO!$AA$127</f>
        <v>0</v>
      </c>
      <c r="M127" s="55">
        <f>$J$127-EFEITO!$K$127*EFEITO!$Y$127</f>
        <v>0</v>
      </c>
      <c r="N127" s="55">
        <f ca="1">$K$127-EFEITO!$M$127*EFEITO!$Z$127</f>
        <v>25226.452621477576</v>
      </c>
      <c r="O127" s="55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5" t="s">
        <v>21</v>
      </c>
      <c r="B128" s="35" t="s">
        <v>35</v>
      </c>
      <c r="C128" s="35" t="s">
        <v>36</v>
      </c>
      <c r="D128" s="35" t="s">
        <v>34</v>
      </c>
      <c r="E128" s="35" t="s">
        <v>25</v>
      </c>
      <c r="F128" s="35" t="s">
        <v>55</v>
      </c>
      <c r="G128" s="35" t="s">
        <v>25</v>
      </c>
      <c r="H128" s="35" t="s">
        <v>37</v>
      </c>
      <c r="I128" s="54">
        <v>44774</v>
      </c>
      <c r="J128" s="55">
        <f>EFEITO!$J$128*EFEITO!$Y$128</f>
        <v>0</v>
      </c>
      <c r="K128" s="55">
        <f ca="1">EFEITO!$L$128*EFEITO!$Z$128</f>
        <v>68810.85160805381</v>
      </c>
      <c r="L128" s="55">
        <f>EFEITO!$N$128*EFEITO!$AA$128</f>
        <v>0</v>
      </c>
      <c r="M128" s="55">
        <f>$J$128-EFEITO!$K$128*EFEITO!$Y$128</f>
        <v>0</v>
      </c>
      <c r="N128" s="55">
        <f ca="1">$K$128-EFEITO!$M$128*EFEITO!$Z$128</f>
        <v>33393.906285388519</v>
      </c>
      <c r="O128" s="55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5" t="s">
        <v>21</v>
      </c>
      <c r="B129" s="35" t="s">
        <v>35</v>
      </c>
      <c r="C129" s="35" t="s">
        <v>36</v>
      </c>
      <c r="D129" s="35" t="s">
        <v>34</v>
      </c>
      <c r="E129" s="35" t="s">
        <v>25</v>
      </c>
      <c r="F129" s="35" t="s">
        <v>25</v>
      </c>
      <c r="G129" s="35" t="s">
        <v>25</v>
      </c>
      <c r="H129" s="35" t="s">
        <v>38</v>
      </c>
      <c r="I129" s="54">
        <v>44440</v>
      </c>
      <c r="J129" s="55">
        <f>EFEITO!$J$129*EFEITO!$Y$129</f>
        <v>0</v>
      </c>
      <c r="K129" s="55">
        <f ca="1">EFEITO!$L$129*EFEITO!$Z$129</f>
        <v>55076.028906888845</v>
      </c>
      <c r="L129" s="55">
        <f>EFEITO!$N$129*EFEITO!$AA$129</f>
        <v>101972.36757706979</v>
      </c>
      <c r="M129" s="55">
        <f>$J$129-EFEITO!$K$129*EFEITO!$Y$129</f>
        <v>0</v>
      </c>
      <c r="N129" s="55">
        <f ca="1">$K$129-EFEITO!$M$129*EFEITO!$Z$129</f>
        <v>0</v>
      </c>
      <c r="O129" s="55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5" t="s">
        <v>21</v>
      </c>
      <c r="B130" s="35" t="s">
        <v>35</v>
      </c>
      <c r="C130" s="35" t="s">
        <v>36</v>
      </c>
      <c r="D130" s="35" t="s">
        <v>34</v>
      </c>
      <c r="E130" s="35" t="s">
        <v>25</v>
      </c>
      <c r="F130" s="35" t="s">
        <v>25</v>
      </c>
      <c r="G130" s="35" t="s">
        <v>25</v>
      </c>
      <c r="H130" s="35" t="s">
        <v>38</v>
      </c>
      <c r="I130" s="54">
        <v>44470</v>
      </c>
      <c r="J130" s="55">
        <f>EFEITO!$J$130*EFEITO!$Y$130</f>
        <v>0</v>
      </c>
      <c r="K130" s="55">
        <f ca="1">EFEITO!$L$130*EFEITO!$Z$130</f>
        <v>53548.384180457433</v>
      </c>
      <c r="L130" s="55">
        <f>EFEITO!$N$130*EFEITO!$AA$130</f>
        <v>99143.958327844637</v>
      </c>
      <c r="M130" s="55">
        <f>$J$130-EFEITO!$K$130*EFEITO!$Y$130</f>
        <v>0</v>
      </c>
      <c r="N130" s="55">
        <f ca="1">$K$130-EFEITO!$M$130*EFEITO!$Z$130</f>
        <v>0</v>
      </c>
      <c r="O130" s="55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5" t="s">
        <v>21</v>
      </c>
      <c r="B131" s="35" t="s">
        <v>35</v>
      </c>
      <c r="C131" s="35" t="s">
        <v>36</v>
      </c>
      <c r="D131" s="35" t="s">
        <v>34</v>
      </c>
      <c r="E131" s="35" t="s">
        <v>25</v>
      </c>
      <c r="F131" s="35" t="s">
        <v>25</v>
      </c>
      <c r="G131" s="35" t="s">
        <v>25</v>
      </c>
      <c r="H131" s="35" t="s">
        <v>38</v>
      </c>
      <c r="I131" s="54">
        <v>44501</v>
      </c>
      <c r="J131" s="55">
        <f>EFEITO!$J$131*EFEITO!$Y$131</f>
        <v>0</v>
      </c>
      <c r="K131" s="55">
        <f ca="1">EFEITO!$L$131*EFEITO!$Z$131</f>
        <v>54758.36212622538</v>
      </c>
      <c r="L131" s="55">
        <f>EFEITO!$N$131*EFEITO!$AA$131</f>
        <v>101384.21272335651</v>
      </c>
      <c r="M131" s="55">
        <f>$J$131-EFEITO!$K$131*EFEITO!$Y$131</f>
        <v>0</v>
      </c>
      <c r="N131" s="55">
        <f ca="1">$K$131-EFEITO!$M$131*EFEITO!$Z$131</f>
        <v>0</v>
      </c>
      <c r="O131" s="55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5" t="s">
        <v>21</v>
      </c>
      <c r="B132" s="35" t="s">
        <v>35</v>
      </c>
      <c r="C132" s="35" t="s">
        <v>36</v>
      </c>
      <c r="D132" s="35" t="s">
        <v>34</v>
      </c>
      <c r="E132" s="35" t="s">
        <v>25</v>
      </c>
      <c r="F132" s="35" t="s">
        <v>25</v>
      </c>
      <c r="G132" s="35" t="s">
        <v>25</v>
      </c>
      <c r="H132" s="35" t="s">
        <v>38</v>
      </c>
      <c r="I132" s="54">
        <v>44531</v>
      </c>
      <c r="J132" s="55">
        <f>EFEITO!$J$132*EFEITO!$Y$132</f>
        <v>0</v>
      </c>
      <c r="K132" s="55">
        <f ca="1">EFEITO!$L$132*EFEITO!$Z$132</f>
        <v>44951.652112698219</v>
      </c>
      <c r="L132" s="55">
        <f>EFEITO!$N$132*EFEITO!$AA$132</f>
        <v>83227.249375259315</v>
      </c>
      <c r="M132" s="55">
        <f>$J$132-EFEITO!$K$132*EFEITO!$Y$132</f>
        <v>0</v>
      </c>
      <c r="N132" s="55">
        <f ca="1">$K$132-EFEITO!$M$132*EFEITO!$Z$132</f>
        <v>0</v>
      </c>
      <c r="O132" s="55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5" t="s">
        <v>21</v>
      </c>
      <c r="B133" s="35" t="s">
        <v>35</v>
      </c>
      <c r="C133" s="35" t="s">
        <v>36</v>
      </c>
      <c r="D133" s="35" t="s">
        <v>34</v>
      </c>
      <c r="E133" s="35" t="s">
        <v>25</v>
      </c>
      <c r="F133" s="35" t="s">
        <v>25</v>
      </c>
      <c r="G133" s="35" t="s">
        <v>25</v>
      </c>
      <c r="H133" s="35" t="s">
        <v>38</v>
      </c>
      <c r="I133" s="54">
        <v>44562</v>
      </c>
      <c r="J133" s="55">
        <f>EFEITO!$J$133*EFEITO!$Y$133</f>
        <v>0</v>
      </c>
      <c r="K133" s="55">
        <f ca="1">EFEITO!$L$133*EFEITO!$Z$133</f>
        <v>55768.646641778025</v>
      </c>
      <c r="L133" s="55">
        <f>EFEITO!$N$133*EFEITO!$AA$133</f>
        <v>103254.73799582166</v>
      </c>
      <c r="M133" s="55">
        <f>$J$133-EFEITO!$K$133*EFEITO!$Y$133</f>
        <v>0</v>
      </c>
      <c r="N133" s="55">
        <f ca="1">$K$133-EFEITO!$M$133*EFEITO!$Z$133</f>
        <v>0</v>
      </c>
      <c r="O133" s="55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5" t="s">
        <v>21</v>
      </c>
      <c r="B134" s="35" t="s">
        <v>35</v>
      </c>
      <c r="C134" s="35" t="s">
        <v>36</v>
      </c>
      <c r="D134" s="35" t="s">
        <v>34</v>
      </c>
      <c r="E134" s="35" t="s">
        <v>25</v>
      </c>
      <c r="F134" s="35" t="s">
        <v>25</v>
      </c>
      <c r="G134" s="35" t="s">
        <v>25</v>
      </c>
      <c r="H134" s="35" t="s">
        <v>38</v>
      </c>
      <c r="I134" s="54">
        <v>44593</v>
      </c>
      <c r="J134" s="55">
        <f>EFEITO!$J$134*EFEITO!$Y$134</f>
        <v>0</v>
      </c>
      <c r="K134" s="55">
        <f ca="1">EFEITO!$L$134*EFEITO!$Z$134</f>
        <v>57311.21329453947</v>
      </c>
      <c r="L134" s="55">
        <f>EFEITO!$N$134*EFEITO!$AA$134</f>
        <v>106110.77494782212</v>
      </c>
      <c r="M134" s="55">
        <f>$J$134-EFEITO!$K$134*EFEITO!$Y$134</f>
        <v>0</v>
      </c>
      <c r="N134" s="55">
        <f ca="1">$K$134-EFEITO!$M$134*EFEITO!$Z$134</f>
        <v>0</v>
      </c>
      <c r="O134" s="55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5" t="s">
        <v>21</v>
      </c>
      <c r="B135" s="35" t="s">
        <v>35</v>
      </c>
      <c r="C135" s="35" t="s">
        <v>36</v>
      </c>
      <c r="D135" s="35" t="s">
        <v>34</v>
      </c>
      <c r="E135" s="35" t="s">
        <v>25</v>
      </c>
      <c r="F135" s="35" t="s">
        <v>25</v>
      </c>
      <c r="G135" s="35" t="s">
        <v>25</v>
      </c>
      <c r="H135" s="35" t="s">
        <v>38</v>
      </c>
      <c r="I135" s="54">
        <v>44621</v>
      </c>
      <c r="J135" s="55">
        <f>EFEITO!$J$135*EFEITO!$Y$135</f>
        <v>0</v>
      </c>
      <c r="K135" s="55">
        <f ca="1">EFEITO!$L$135*EFEITO!$Z$135</f>
        <v>54795.516721315587</v>
      </c>
      <c r="L135" s="55">
        <f>EFEITO!$N$135*EFEITO!$AA$135</f>
        <v>101453.00384905879</v>
      </c>
      <c r="M135" s="55">
        <f>$J$135-EFEITO!$K$135*EFEITO!$Y$135</f>
        <v>0</v>
      </c>
      <c r="N135" s="55">
        <f ca="1">$K$135-EFEITO!$M$135*EFEITO!$Z$135</f>
        <v>0</v>
      </c>
      <c r="O135" s="55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5" t="s">
        <v>21</v>
      </c>
      <c r="B136" s="35" t="s">
        <v>35</v>
      </c>
      <c r="C136" s="35" t="s">
        <v>36</v>
      </c>
      <c r="D136" s="35" t="s">
        <v>34</v>
      </c>
      <c r="E136" s="35" t="s">
        <v>25</v>
      </c>
      <c r="F136" s="35" t="s">
        <v>25</v>
      </c>
      <c r="G136" s="35" t="s">
        <v>25</v>
      </c>
      <c r="H136" s="35" t="s">
        <v>38</v>
      </c>
      <c r="I136" s="54">
        <v>44652</v>
      </c>
      <c r="J136" s="55">
        <f>EFEITO!$J$136*EFEITO!$Y$136</f>
        <v>0</v>
      </c>
      <c r="K136" s="55">
        <f ca="1">EFEITO!$L$136*EFEITO!$Z$136</f>
        <v>61800.910471060168</v>
      </c>
      <c r="L136" s="55">
        <f>EFEITO!$N$136*EFEITO!$AA$136</f>
        <v>114423.37590835791</v>
      </c>
      <c r="M136" s="55">
        <f>$J$136-EFEITO!$K$136*EFEITO!$Y$136</f>
        <v>0</v>
      </c>
      <c r="N136" s="55">
        <f ca="1">$K$136-EFEITO!$M$136*EFEITO!$Z$136</f>
        <v>0</v>
      </c>
      <c r="O136" s="55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5" t="s">
        <v>21</v>
      </c>
      <c r="B137" s="35" t="s">
        <v>35</v>
      </c>
      <c r="C137" s="35" t="s">
        <v>36</v>
      </c>
      <c r="D137" s="35" t="s">
        <v>34</v>
      </c>
      <c r="E137" s="35" t="s">
        <v>25</v>
      </c>
      <c r="F137" s="35" t="s">
        <v>25</v>
      </c>
      <c r="G137" s="35" t="s">
        <v>25</v>
      </c>
      <c r="H137" s="35" t="s">
        <v>38</v>
      </c>
      <c r="I137" s="54">
        <v>44682</v>
      </c>
      <c r="J137" s="55">
        <f>EFEITO!$J$137*EFEITO!$Y$137</f>
        <v>0</v>
      </c>
      <c r="K137" s="55">
        <f ca="1">EFEITO!$L$137*EFEITO!$Z$137</f>
        <v>57750.55887044446</v>
      </c>
      <c r="L137" s="55">
        <f>EFEITO!$N$137*EFEITO!$AA$137</f>
        <v>106924.21610268977</v>
      </c>
      <c r="M137" s="55">
        <f>$J$137-EFEITO!$K$137*EFEITO!$Y$137</f>
        <v>0</v>
      </c>
      <c r="N137" s="55">
        <f ca="1">$K$137-EFEITO!$M$137*EFEITO!$Z$137</f>
        <v>0</v>
      </c>
      <c r="O137" s="55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5" t="s">
        <v>21</v>
      </c>
      <c r="B138" s="35" t="s">
        <v>35</v>
      </c>
      <c r="C138" s="35" t="s">
        <v>36</v>
      </c>
      <c r="D138" s="35" t="s">
        <v>34</v>
      </c>
      <c r="E138" s="35" t="s">
        <v>25</v>
      </c>
      <c r="F138" s="35" t="s">
        <v>25</v>
      </c>
      <c r="G138" s="35" t="s">
        <v>25</v>
      </c>
      <c r="H138" s="35" t="s">
        <v>38</v>
      </c>
      <c r="I138" s="54">
        <v>44713</v>
      </c>
      <c r="J138" s="55">
        <f>EFEITO!$J$138*EFEITO!$Y$138</f>
        <v>0</v>
      </c>
      <c r="K138" s="55">
        <f ca="1">EFEITO!$L$138*EFEITO!$Z$138</f>
        <v>55765.141491297822</v>
      </c>
      <c r="L138" s="55">
        <f>EFEITO!$N$138*EFEITO!$AA$138</f>
        <v>103248.24826698183</v>
      </c>
      <c r="M138" s="55">
        <f>$J$138-EFEITO!$K$138*EFEITO!$Y$138</f>
        <v>0</v>
      </c>
      <c r="N138" s="55">
        <f ca="1">$K$138-EFEITO!$M$138*EFEITO!$Z$138</f>
        <v>0</v>
      </c>
      <c r="O138" s="55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5" t="s">
        <v>21</v>
      </c>
      <c r="B139" s="35" t="s">
        <v>35</v>
      </c>
      <c r="C139" s="35" t="s">
        <v>36</v>
      </c>
      <c r="D139" s="35" t="s">
        <v>34</v>
      </c>
      <c r="E139" s="35" t="s">
        <v>25</v>
      </c>
      <c r="F139" s="35" t="s">
        <v>25</v>
      </c>
      <c r="G139" s="35" t="s">
        <v>25</v>
      </c>
      <c r="H139" s="35" t="s">
        <v>38</v>
      </c>
      <c r="I139" s="54">
        <v>44743</v>
      </c>
      <c r="J139" s="55">
        <f>EFEITO!$J$139*EFEITO!$Y$139</f>
        <v>0</v>
      </c>
      <c r="K139" s="55">
        <f ca="1">EFEITO!$L$139*EFEITO!$Z$139</f>
        <v>48092.367090121552</v>
      </c>
      <c r="L139" s="55">
        <f>EFEITO!$N$139*EFEITO!$AA$139</f>
        <v>89042.231836577659</v>
      </c>
      <c r="M139" s="55">
        <f>$J$139-EFEITO!$K$139*EFEITO!$Y$139</f>
        <v>0</v>
      </c>
      <c r="N139" s="55">
        <f ca="1">$K$139-EFEITO!$M$139*EFEITO!$Z$139</f>
        <v>0</v>
      </c>
      <c r="O139" s="55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5" t="s">
        <v>21</v>
      </c>
      <c r="B140" s="35" t="s">
        <v>35</v>
      </c>
      <c r="C140" s="35" t="s">
        <v>36</v>
      </c>
      <c r="D140" s="35" t="s">
        <v>34</v>
      </c>
      <c r="E140" s="35" t="s">
        <v>25</v>
      </c>
      <c r="F140" s="35" t="s">
        <v>25</v>
      </c>
      <c r="G140" s="35" t="s">
        <v>25</v>
      </c>
      <c r="H140" s="35" t="s">
        <v>38</v>
      </c>
      <c r="I140" s="54">
        <v>44774</v>
      </c>
      <c r="J140" s="55">
        <f>EFEITO!$J$140*EFEITO!$Y$140</f>
        <v>0</v>
      </c>
      <c r="K140" s="55">
        <f ca="1">EFEITO!$L$140*EFEITO!$Z$140</f>
        <v>50091.805071189025</v>
      </c>
      <c r="L140" s="55">
        <f>EFEITO!$N$140*EFEITO!$AA$140</f>
        <v>92744.158587644939</v>
      </c>
      <c r="M140" s="55">
        <f>$J$140-EFEITO!$K$140*EFEITO!$Y$140</f>
        <v>0</v>
      </c>
      <c r="N140" s="55">
        <f ca="1">$K$140-EFEITO!$M$140*EFEITO!$Z$140</f>
        <v>0</v>
      </c>
      <c r="O140" s="55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5" t="s">
        <v>21</v>
      </c>
      <c r="B141" s="35" t="s">
        <v>35</v>
      </c>
      <c r="C141" s="35" t="s">
        <v>36</v>
      </c>
      <c r="D141" s="35" t="s">
        <v>34</v>
      </c>
      <c r="E141" s="35" t="s">
        <v>25</v>
      </c>
      <c r="F141" s="35" t="s">
        <v>25</v>
      </c>
      <c r="G141" s="35" t="s">
        <v>25</v>
      </c>
      <c r="H141" s="35" t="s">
        <v>25</v>
      </c>
      <c r="I141" s="54">
        <v>44440</v>
      </c>
      <c r="J141" s="55">
        <f ca="1">EFEITO!$J$141*EFEITO!$Y$141</f>
        <v>112329.26724863077</v>
      </c>
      <c r="K141" s="55">
        <f>EFEITO!$L$141*EFEITO!$Z$141</f>
        <v>0</v>
      </c>
      <c r="L141" s="55">
        <f>EFEITO!$N$141*EFEITO!$AA$141</f>
        <v>0</v>
      </c>
      <c r="M141" s="55">
        <f ca="1">$J$141-EFEITO!$K$141*EFEITO!$Y$141</f>
        <v>0</v>
      </c>
      <c r="N141" s="55">
        <f>$K$141-EFEITO!$M$141*EFEITO!$Z$141</f>
        <v>0</v>
      </c>
      <c r="O141" s="55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5" t="s">
        <v>21</v>
      </c>
      <c r="B142" s="35" t="s">
        <v>35</v>
      </c>
      <c r="C142" s="35" t="s">
        <v>36</v>
      </c>
      <c r="D142" s="35" t="s">
        <v>34</v>
      </c>
      <c r="E142" s="35" t="s">
        <v>25</v>
      </c>
      <c r="F142" s="35" t="s">
        <v>25</v>
      </c>
      <c r="G142" s="35" t="s">
        <v>25</v>
      </c>
      <c r="H142" s="35" t="s">
        <v>25</v>
      </c>
      <c r="I142" s="54">
        <v>44470</v>
      </c>
      <c r="J142" s="55">
        <f ca="1">EFEITO!$J$142*EFEITO!$Y$142</f>
        <v>113282.63596716632</v>
      </c>
      <c r="K142" s="55">
        <f>EFEITO!$L$142*EFEITO!$Z$142</f>
        <v>0</v>
      </c>
      <c r="L142" s="55">
        <f>EFEITO!$N$142*EFEITO!$AA$142</f>
        <v>0</v>
      </c>
      <c r="M142" s="55">
        <f ca="1">$J$142-EFEITO!$K$142*EFEITO!$Y$142</f>
        <v>0</v>
      </c>
      <c r="N142" s="55">
        <f>$K$142-EFEITO!$M$142*EFEITO!$Z$142</f>
        <v>0</v>
      </c>
      <c r="O142" s="55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5" t="s">
        <v>21</v>
      </c>
      <c r="B143" s="35" t="s">
        <v>35</v>
      </c>
      <c r="C143" s="35" t="s">
        <v>36</v>
      </c>
      <c r="D143" s="35" t="s">
        <v>34</v>
      </c>
      <c r="E143" s="35" t="s">
        <v>25</v>
      </c>
      <c r="F143" s="35" t="s">
        <v>25</v>
      </c>
      <c r="G143" s="35" t="s">
        <v>25</v>
      </c>
      <c r="H143" s="35" t="s">
        <v>25</v>
      </c>
      <c r="I143" s="54">
        <v>44501</v>
      </c>
      <c r="J143" s="55">
        <f ca="1">EFEITO!$J$143*EFEITO!$Y$143</f>
        <v>115946.46032778038</v>
      </c>
      <c r="K143" s="55">
        <f>EFEITO!$L$143*EFEITO!$Z$143</f>
        <v>0</v>
      </c>
      <c r="L143" s="55">
        <f>EFEITO!$N$143*EFEITO!$AA$143</f>
        <v>0</v>
      </c>
      <c r="M143" s="55">
        <f ca="1">$J$143-EFEITO!$K$143*EFEITO!$Y$143</f>
        <v>0</v>
      </c>
      <c r="N143" s="55">
        <f>$K$143-EFEITO!$M$143*EFEITO!$Z$143</f>
        <v>0</v>
      </c>
      <c r="O143" s="55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5" t="s">
        <v>21</v>
      </c>
      <c r="B144" s="35" t="s">
        <v>35</v>
      </c>
      <c r="C144" s="35" t="s">
        <v>36</v>
      </c>
      <c r="D144" s="35" t="s">
        <v>34</v>
      </c>
      <c r="E144" s="35" t="s">
        <v>25</v>
      </c>
      <c r="F144" s="35" t="s">
        <v>25</v>
      </c>
      <c r="G144" s="35" t="s">
        <v>25</v>
      </c>
      <c r="H144" s="35" t="s">
        <v>25</v>
      </c>
      <c r="I144" s="54">
        <v>44531</v>
      </c>
      <c r="J144" s="55">
        <f ca="1">EFEITO!$J$144*EFEITO!$Y$144</f>
        <v>115666.05776350522</v>
      </c>
      <c r="K144" s="55">
        <f>EFEITO!$L$144*EFEITO!$Z$144</f>
        <v>0</v>
      </c>
      <c r="L144" s="55">
        <f>EFEITO!$N$144*EFEITO!$AA$144</f>
        <v>0</v>
      </c>
      <c r="M144" s="55">
        <f ca="1">$J$144-EFEITO!$K$144*EFEITO!$Y$144</f>
        <v>0</v>
      </c>
      <c r="N144" s="55">
        <f>$K$144-EFEITO!$M$144*EFEITO!$Z$144</f>
        <v>0</v>
      </c>
      <c r="O144" s="55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5" t="s">
        <v>21</v>
      </c>
      <c r="B145" s="35" t="s">
        <v>35</v>
      </c>
      <c r="C145" s="35" t="s">
        <v>36</v>
      </c>
      <c r="D145" s="35" t="s">
        <v>34</v>
      </c>
      <c r="E145" s="35" t="s">
        <v>25</v>
      </c>
      <c r="F145" s="35" t="s">
        <v>25</v>
      </c>
      <c r="G145" s="35" t="s">
        <v>25</v>
      </c>
      <c r="H145" s="35" t="s">
        <v>25</v>
      </c>
      <c r="I145" s="54">
        <v>44562</v>
      </c>
      <c r="J145" s="55">
        <f ca="1">EFEITO!$J$145*EFEITO!$Y$145</f>
        <v>116254.90314848306</v>
      </c>
      <c r="K145" s="55">
        <f>EFEITO!$L$145*EFEITO!$Z$145</f>
        <v>0</v>
      </c>
      <c r="L145" s="55">
        <f>EFEITO!$N$145*EFEITO!$AA$145</f>
        <v>0</v>
      </c>
      <c r="M145" s="55">
        <f ca="1">$J$145-EFEITO!$K$145*EFEITO!$Y$145</f>
        <v>0</v>
      </c>
      <c r="N145" s="55">
        <f>$K$145-EFEITO!$M$145*EFEITO!$Z$145</f>
        <v>0</v>
      </c>
      <c r="O145" s="55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5" t="s">
        <v>21</v>
      </c>
      <c r="B146" s="35" t="s">
        <v>35</v>
      </c>
      <c r="C146" s="35" t="s">
        <v>36</v>
      </c>
      <c r="D146" s="35" t="s">
        <v>34</v>
      </c>
      <c r="E146" s="35" t="s">
        <v>25</v>
      </c>
      <c r="F146" s="35" t="s">
        <v>25</v>
      </c>
      <c r="G146" s="35" t="s">
        <v>25</v>
      </c>
      <c r="H146" s="35" t="s">
        <v>25</v>
      </c>
      <c r="I146" s="54">
        <v>44593</v>
      </c>
      <c r="J146" s="55">
        <f ca="1">EFEITO!$J$146*EFEITO!$Y$146</f>
        <v>116254.90314848306</v>
      </c>
      <c r="K146" s="55">
        <f>EFEITO!$L$146*EFEITO!$Z$146</f>
        <v>0</v>
      </c>
      <c r="L146" s="55">
        <f>EFEITO!$N$146*EFEITO!$AA$146</f>
        <v>0</v>
      </c>
      <c r="M146" s="55">
        <f ca="1">$J$146-EFEITO!$K$146*EFEITO!$Y$146</f>
        <v>0</v>
      </c>
      <c r="N146" s="55">
        <f>$K$146-EFEITO!$M$146*EFEITO!$Z$146</f>
        <v>0</v>
      </c>
      <c r="O146" s="55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5" t="s">
        <v>21</v>
      </c>
      <c r="B147" s="35" t="s">
        <v>35</v>
      </c>
      <c r="C147" s="35" t="s">
        <v>36</v>
      </c>
      <c r="D147" s="35" t="s">
        <v>34</v>
      </c>
      <c r="E147" s="35" t="s">
        <v>25</v>
      </c>
      <c r="F147" s="35" t="s">
        <v>25</v>
      </c>
      <c r="G147" s="35" t="s">
        <v>25</v>
      </c>
      <c r="H147" s="35" t="s">
        <v>25</v>
      </c>
      <c r="I147" s="54">
        <v>44621</v>
      </c>
      <c r="J147" s="55">
        <f ca="1">EFEITO!$J$147*EFEITO!$Y$147</f>
        <v>115722.13827636026</v>
      </c>
      <c r="K147" s="55">
        <f>EFEITO!$L$147*EFEITO!$Z$147</f>
        <v>0</v>
      </c>
      <c r="L147" s="55">
        <f>EFEITO!$N$147*EFEITO!$AA$147</f>
        <v>0</v>
      </c>
      <c r="M147" s="55">
        <f ca="1">$J$147-EFEITO!$K$147*EFEITO!$Y$147</f>
        <v>0</v>
      </c>
      <c r="N147" s="55">
        <f>$K$147-EFEITO!$M$147*EFEITO!$Z$147</f>
        <v>0</v>
      </c>
      <c r="O147" s="55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5" t="s">
        <v>21</v>
      </c>
      <c r="B148" s="35" t="s">
        <v>35</v>
      </c>
      <c r="C148" s="35" t="s">
        <v>36</v>
      </c>
      <c r="D148" s="35" t="s">
        <v>34</v>
      </c>
      <c r="E148" s="35" t="s">
        <v>25</v>
      </c>
      <c r="F148" s="35" t="s">
        <v>25</v>
      </c>
      <c r="G148" s="35" t="s">
        <v>25</v>
      </c>
      <c r="H148" s="35" t="s">
        <v>25</v>
      </c>
      <c r="I148" s="54">
        <v>44652</v>
      </c>
      <c r="J148" s="55">
        <f ca="1">EFEITO!$J$148*EFEITO!$Y$148</f>
        <v>115469.77596851261</v>
      </c>
      <c r="K148" s="55">
        <f>EFEITO!$L$148*EFEITO!$Z$148</f>
        <v>0</v>
      </c>
      <c r="L148" s="55">
        <f>EFEITO!$N$148*EFEITO!$AA$148</f>
        <v>0</v>
      </c>
      <c r="M148" s="55">
        <f ca="1">$J$148-EFEITO!$K$148*EFEITO!$Y$148</f>
        <v>0</v>
      </c>
      <c r="N148" s="55">
        <f>$K$148-EFEITO!$M$148*EFEITO!$Z$148</f>
        <v>0</v>
      </c>
      <c r="O148" s="55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5" t="s">
        <v>21</v>
      </c>
      <c r="B149" s="35" t="s">
        <v>35</v>
      </c>
      <c r="C149" s="35" t="s">
        <v>36</v>
      </c>
      <c r="D149" s="35" t="s">
        <v>34</v>
      </c>
      <c r="E149" s="35" t="s">
        <v>25</v>
      </c>
      <c r="F149" s="35" t="s">
        <v>25</v>
      </c>
      <c r="G149" s="35" t="s">
        <v>25</v>
      </c>
      <c r="H149" s="35" t="s">
        <v>25</v>
      </c>
      <c r="I149" s="54">
        <v>44682</v>
      </c>
      <c r="J149" s="55">
        <f ca="1">EFEITO!$J$149*EFEITO!$Y$149</f>
        <v>95196.670571418246</v>
      </c>
      <c r="K149" s="55">
        <f>EFEITO!$L$149*EFEITO!$Z$149</f>
        <v>0</v>
      </c>
      <c r="L149" s="55">
        <f>EFEITO!$N$149*EFEITO!$AA$149</f>
        <v>0</v>
      </c>
      <c r="M149" s="55">
        <f ca="1">$J$149-EFEITO!$K$149*EFEITO!$Y$149</f>
        <v>0</v>
      </c>
      <c r="N149" s="55">
        <f>$K$149-EFEITO!$M$149*EFEITO!$Z$149</f>
        <v>0</v>
      </c>
      <c r="O149" s="55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5" t="s">
        <v>21</v>
      </c>
      <c r="B150" s="35" t="s">
        <v>35</v>
      </c>
      <c r="C150" s="35" t="s">
        <v>36</v>
      </c>
      <c r="D150" s="35" t="s">
        <v>34</v>
      </c>
      <c r="E150" s="35" t="s">
        <v>25</v>
      </c>
      <c r="F150" s="35" t="s">
        <v>25</v>
      </c>
      <c r="G150" s="35" t="s">
        <v>25</v>
      </c>
      <c r="H150" s="35" t="s">
        <v>25</v>
      </c>
      <c r="I150" s="54">
        <v>44713</v>
      </c>
      <c r="J150" s="55">
        <f ca="1">EFEITO!$J$150*EFEITO!$Y$150</f>
        <v>95280.791340700787</v>
      </c>
      <c r="K150" s="55">
        <f>EFEITO!$L$150*EFEITO!$Z$150</f>
        <v>0</v>
      </c>
      <c r="L150" s="55">
        <f>EFEITO!$N$150*EFEITO!$AA$150</f>
        <v>0</v>
      </c>
      <c r="M150" s="55">
        <f ca="1">$J$150-EFEITO!$K$150*EFEITO!$Y$150</f>
        <v>0</v>
      </c>
      <c r="N150" s="55">
        <f>$K$150-EFEITO!$M$150*EFEITO!$Z$150</f>
        <v>0</v>
      </c>
      <c r="O150" s="55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5" t="s">
        <v>21</v>
      </c>
      <c r="B151" s="35" t="s">
        <v>35</v>
      </c>
      <c r="C151" s="35" t="s">
        <v>36</v>
      </c>
      <c r="D151" s="35" t="s">
        <v>34</v>
      </c>
      <c r="E151" s="35" t="s">
        <v>25</v>
      </c>
      <c r="F151" s="35" t="s">
        <v>25</v>
      </c>
      <c r="G151" s="35" t="s">
        <v>25</v>
      </c>
      <c r="H151" s="35" t="s">
        <v>25</v>
      </c>
      <c r="I151" s="54">
        <v>44743</v>
      </c>
      <c r="J151" s="55">
        <f ca="1">EFEITO!$J$151*EFEITO!$Y$151</f>
        <v>95168.630314990718</v>
      </c>
      <c r="K151" s="55">
        <f>EFEITO!$L$151*EFEITO!$Z$151</f>
        <v>0</v>
      </c>
      <c r="L151" s="55">
        <f>EFEITO!$N$151*EFEITO!$AA$151</f>
        <v>0</v>
      </c>
      <c r="M151" s="55">
        <f ca="1">$J$151-EFEITO!$K$151*EFEITO!$Y$151</f>
        <v>0</v>
      </c>
      <c r="N151" s="55">
        <f>$K$151-EFEITO!$M$151*EFEITO!$Z$151</f>
        <v>0</v>
      </c>
      <c r="O151" s="55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5" t="s">
        <v>21</v>
      </c>
      <c r="B152" s="35" t="s">
        <v>35</v>
      </c>
      <c r="C152" s="35" t="s">
        <v>36</v>
      </c>
      <c r="D152" s="35" t="s">
        <v>34</v>
      </c>
      <c r="E152" s="35" t="s">
        <v>25</v>
      </c>
      <c r="F152" s="35" t="s">
        <v>25</v>
      </c>
      <c r="G152" s="35" t="s">
        <v>25</v>
      </c>
      <c r="H152" s="35" t="s">
        <v>25</v>
      </c>
      <c r="I152" s="54">
        <v>44774</v>
      </c>
      <c r="J152" s="55">
        <f ca="1">EFEITO!$J$152*EFEITO!$Y$152</f>
        <v>95785.515956396091</v>
      </c>
      <c r="K152" s="55">
        <f>EFEITO!$L$152*EFEITO!$Z$152</f>
        <v>0</v>
      </c>
      <c r="L152" s="55">
        <f>EFEITO!$N$152*EFEITO!$AA$152</f>
        <v>0</v>
      </c>
      <c r="M152" s="55">
        <f ca="1">$J$152-EFEITO!$K$152*EFEITO!$Y$152</f>
        <v>0</v>
      </c>
      <c r="N152" s="55">
        <f>$K$152-EFEITO!$M$152*EFEITO!$Z$152</f>
        <v>0</v>
      </c>
      <c r="O152" s="55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5" t="s">
        <v>21</v>
      </c>
      <c r="B153" s="35" t="s">
        <v>35</v>
      </c>
      <c r="C153" s="35" t="s">
        <v>36</v>
      </c>
      <c r="D153" s="35" t="s">
        <v>34</v>
      </c>
      <c r="E153" s="35" t="s">
        <v>25</v>
      </c>
      <c r="F153" s="35" t="s">
        <v>25</v>
      </c>
      <c r="G153" s="35" t="s">
        <v>25</v>
      </c>
      <c r="H153" s="35" t="s">
        <v>37</v>
      </c>
      <c r="I153" s="54">
        <v>44440</v>
      </c>
      <c r="J153" s="55">
        <f>EFEITO!$J$153*EFEITO!$Y$153</f>
        <v>0</v>
      </c>
      <c r="K153" s="55">
        <f ca="1">EFEITO!$L$153*EFEITO!$Z$153</f>
        <v>12508.05414622918</v>
      </c>
      <c r="L153" s="55">
        <f>EFEITO!$N$153*EFEITO!$AA$153</f>
        <v>1050.77980958168</v>
      </c>
      <c r="M153" s="55">
        <f>$J$153-EFEITO!$K$153*EFEITO!$Y$153</f>
        <v>0</v>
      </c>
      <c r="N153" s="55">
        <f ca="1">$K$153-EFEITO!$M$153*EFEITO!$Z$153</f>
        <v>0</v>
      </c>
      <c r="O153" s="55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5" t="s">
        <v>21</v>
      </c>
      <c r="B154" s="35" t="s">
        <v>35</v>
      </c>
      <c r="C154" s="35" t="s">
        <v>36</v>
      </c>
      <c r="D154" s="35" t="s">
        <v>34</v>
      </c>
      <c r="E154" s="35" t="s">
        <v>25</v>
      </c>
      <c r="F154" s="35" t="s">
        <v>25</v>
      </c>
      <c r="G154" s="35" t="s">
        <v>25</v>
      </c>
      <c r="H154" s="35" t="s">
        <v>37</v>
      </c>
      <c r="I154" s="54">
        <v>44470</v>
      </c>
      <c r="J154" s="55">
        <f>EFEITO!$J$154*EFEITO!$Y$154</f>
        <v>0</v>
      </c>
      <c r="K154" s="55">
        <f ca="1">EFEITO!$L$154*EFEITO!$Z$154</f>
        <v>22627.946198542715</v>
      </c>
      <c r="L154" s="55">
        <f>EFEITO!$N$154*EFEITO!$AA$154</f>
        <v>1900.9342876003852</v>
      </c>
      <c r="M154" s="55">
        <f>$J$154-EFEITO!$K$154*EFEITO!$Y$154</f>
        <v>0</v>
      </c>
      <c r="N154" s="55">
        <f ca="1">$K$154-EFEITO!$M$154*EFEITO!$Z$154</f>
        <v>0</v>
      </c>
      <c r="O154" s="55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5" t="s">
        <v>21</v>
      </c>
      <c r="B155" s="35" t="s">
        <v>35</v>
      </c>
      <c r="C155" s="35" t="s">
        <v>36</v>
      </c>
      <c r="D155" s="35" t="s">
        <v>34</v>
      </c>
      <c r="E155" s="35" t="s">
        <v>25</v>
      </c>
      <c r="F155" s="35" t="s">
        <v>25</v>
      </c>
      <c r="G155" s="35" t="s">
        <v>25</v>
      </c>
      <c r="H155" s="35" t="s">
        <v>37</v>
      </c>
      <c r="I155" s="54">
        <v>44501</v>
      </c>
      <c r="J155" s="55">
        <f>EFEITO!$J$155*EFEITO!$Y$155</f>
        <v>0</v>
      </c>
      <c r="K155" s="55">
        <f ca="1">EFEITO!$L$155*EFEITO!$Z$155</f>
        <v>18056.88917774853</v>
      </c>
      <c r="L155" s="55">
        <f>EFEITO!$N$155*EFEITO!$AA$155</f>
        <v>1516.9277611060038</v>
      </c>
      <c r="M155" s="55">
        <f>$J$155-EFEITO!$K$155*EFEITO!$Y$155</f>
        <v>0</v>
      </c>
      <c r="N155" s="55">
        <f ca="1">$K$155-EFEITO!$M$155*EFEITO!$Z$155</f>
        <v>0</v>
      </c>
      <c r="O155" s="55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5" t="s">
        <v>21</v>
      </c>
      <c r="B156" s="35" t="s">
        <v>35</v>
      </c>
      <c r="C156" s="35" t="s">
        <v>36</v>
      </c>
      <c r="D156" s="35" t="s">
        <v>34</v>
      </c>
      <c r="E156" s="35" t="s">
        <v>25</v>
      </c>
      <c r="F156" s="35" t="s">
        <v>25</v>
      </c>
      <c r="G156" s="35" t="s">
        <v>25</v>
      </c>
      <c r="H156" s="35" t="s">
        <v>37</v>
      </c>
      <c r="I156" s="54">
        <v>44531</v>
      </c>
      <c r="J156" s="55">
        <f>EFEITO!$J$156*EFEITO!$Y$156</f>
        <v>0</v>
      </c>
      <c r="K156" s="55">
        <f ca="1">EFEITO!$L$156*EFEITO!$Z$156</f>
        <v>19394.436524248424</v>
      </c>
      <c r="L156" s="55">
        <f>EFEITO!$N$156*EFEITO!$AA$156</f>
        <v>1629.2927804471894</v>
      </c>
      <c r="M156" s="55">
        <f>$J$156-EFEITO!$K$156*EFEITO!$Y$156</f>
        <v>0</v>
      </c>
      <c r="N156" s="55">
        <f ca="1">$K$156-EFEITO!$M$156*EFEITO!$Z$156</f>
        <v>0</v>
      </c>
      <c r="O156" s="55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5" t="s">
        <v>21</v>
      </c>
      <c r="B157" s="35" t="s">
        <v>35</v>
      </c>
      <c r="C157" s="35" t="s">
        <v>36</v>
      </c>
      <c r="D157" s="35" t="s">
        <v>34</v>
      </c>
      <c r="E157" s="35" t="s">
        <v>25</v>
      </c>
      <c r="F157" s="35" t="s">
        <v>25</v>
      </c>
      <c r="G157" s="35" t="s">
        <v>25</v>
      </c>
      <c r="H157" s="35" t="s">
        <v>37</v>
      </c>
      <c r="I157" s="54">
        <v>44562</v>
      </c>
      <c r="J157" s="55">
        <f>EFEITO!$J$157*EFEITO!$Y$157</f>
        <v>0</v>
      </c>
      <c r="K157" s="55">
        <f ca="1">EFEITO!$L$157*EFEITO!$Z$157</f>
        <v>16476.552708946681</v>
      </c>
      <c r="L157" s="55">
        <f>EFEITO!$N$157*EFEITO!$AA$157</f>
        <v>1384.1664511253293</v>
      </c>
      <c r="M157" s="55">
        <f>$J$157-EFEITO!$K$157*EFEITO!$Y$157</f>
        <v>0</v>
      </c>
      <c r="N157" s="55">
        <f ca="1">$K$157-EFEITO!$M$157*EFEITO!$Z$157</f>
        <v>0</v>
      </c>
      <c r="O157" s="55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5" t="s">
        <v>21</v>
      </c>
      <c r="B158" s="35" t="s">
        <v>35</v>
      </c>
      <c r="C158" s="35" t="s">
        <v>36</v>
      </c>
      <c r="D158" s="35" t="s">
        <v>34</v>
      </c>
      <c r="E158" s="35" t="s">
        <v>25</v>
      </c>
      <c r="F158" s="35" t="s">
        <v>25</v>
      </c>
      <c r="G158" s="35" t="s">
        <v>25</v>
      </c>
      <c r="H158" s="35" t="s">
        <v>37</v>
      </c>
      <c r="I158" s="54">
        <v>44593</v>
      </c>
      <c r="J158" s="55">
        <f>EFEITO!$J$158*EFEITO!$Y$158</f>
        <v>0</v>
      </c>
      <c r="K158" s="55">
        <f ca="1">EFEITO!$L$158*EFEITO!$Z$158</f>
        <v>16227.142065127395</v>
      </c>
      <c r="L158" s="55">
        <f>EFEITO!$N$158*EFEITO!$AA$158</f>
        <v>1363.2138980138541</v>
      </c>
      <c r="M158" s="55">
        <f>$J$158-EFEITO!$K$158*EFEITO!$Y$158</f>
        <v>0</v>
      </c>
      <c r="N158" s="55">
        <f ca="1">$K$158-EFEITO!$M$158*EFEITO!$Z$158</f>
        <v>0</v>
      </c>
      <c r="O158" s="55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5" t="s">
        <v>21</v>
      </c>
      <c r="B159" s="35" t="s">
        <v>35</v>
      </c>
      <c r="C159" s="35" t="s">
        <v>36</v>
      </c>
      <c r="D159" s="35" t="s">
        <v>34</v>
      </c>
      <c r="E159" s="35" t="s">
        <v>25</v>
      </c>
      <c r="F159" s="35" t="s">
        <v>25</v>
      </c>
      <c r="G159" s="35" t="s">
        <v>25</v>
      </c>
      <c r="H159" s="35" t="s">
        <v>37</v>
      </c>
      <c r="I159" s="54">
        <v>44621</v>
      </c>
      <c r="J159" s="55">
        <f>EFEITO!$J$159*EFEITO!$Y$159</f>
        <v>0</v>
      </c>
      <c r="K159" s="55">
        <f ca="1">EFEITO!$L$159*EFEITO!$Z$159</f>
        <v>21407.379065515586</v>
      </c>
      <c r="L159" s="55">
        <f>EFEITO!$N$159*EFEITO!$AA$159</f>
        <v>1798.3965719309535</v>
      </c>
      <c r="M159" s="55">
        <f>$J$159-EFEITO!$K$159*EFEITO!$Y$159</f>
        <v>0</v>
      </c>
      <c r="N159" s="55">
        <f ca="1">$K$159-EFEITO!$M$159*EFEITO!$Z$159</f>
        <v>0</v>
      </c>
      <c r="O159" s="55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5" t="s">
        <v>21</v>
      </c>
      <c r="B160" s="35" t="s">
        <v>35</v>
      </c>
      <c r="C160" s="35" t="s">
        <v>36</v>
      </c>
      <c r="D160" s="35" t="s">
        <v>34</v>
      </c>
      <c r="E160" s="35" t="s">
        <v>25</v>
      </c>
      <c r="F160" s="35" t="s">
        <v>25</v>
      </c>
      <c r="G160" s="35" t="s">
        <v>25</v>
      </c>
      <c r="H160" s="35" t="s">
        <v>37</v>
      </c>
      <c r="I160" s="54">
        <v>44652</v>
      </c>
      <c r="J160" s="55">
        <f>EFEITO!$J$160*EFEITO!$Y$160</f>
        <v>0</v>
      </c>
      <c r="K160" s="55">
        <f ca="1">EFEITO!$L$160*EFEITO!$Z$160</f>
        <v>26146.181298082032</v>
      </c>
      <c r="L160" s="55">
        <f>EFEITO!$N$160*EFEITO!$AA$160</f>
        <v>2196.4950810489822</v>
      </c>
      <c r="M160" s="55">
        <f>$J$160-EFEITO!$K$160*EFEITO!$Y$160</f>
        <v>0</v>
      </c>
      <c r="N160" s="55">
        <f ca="1">$K$160-EFEITO!$M$160*EFEITO!$Z$160</f>
        <v>0</v>
      </c>
      <c r="O160" s="55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5" t="s">
        <v>21</v>
      </c>
      <c r="B161" s="35" t="s">
        <v>35</v>
      </c>
      <c r="C161" s="35" t="s">
        <v>36</v>
      </c>
      <c r="D161" s="35" t="s">
        <v>34</v>
      </c>
      <c r="E161" s="35" t="s">
        <v>25</v>
      </c>
      <c r="F161" s="35" t="s">
        <v>25</v>
      </c>
      <c r="G161" s="35" t="s">
        <v>25</v>
      </c>
      <c r="H161" s="35" t="s">
        <v>37</v>
      </c>
      <c r="I161" s="54">
        <v>44682</v>
      </c>
      <c r="J161" s="55">
        <f>EFEITO!$J$161*EFEITO!$Y$161</f>
        <v>0</v>
      </c>
      <c r="K161" s="55">
        <f ca="1">EFEITO!$L$161*EFEITO!$Z$161</f>
        <v>9278.9588196131062</v>
      </c>
      <c r="L161" s="55">
        <f>EFEITO!$N$161*EFEITO!$AA$161</f>
        <v>779.50914407647474</v>
      </c>
      <c r="M161" s="55">
        <f>$J$161-EFEITO!$K$161*EFEITO!$Y$161</f>
        <v>0</v>
      </c>
      <c r="N161" s="55">
        <f ca="1">$K$161-EFEITO!$M$161*EFEITO!$Z$161</f>
        <v>0</v>
      </c>
      <c r="O161" s="55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5" t="s">
        <v>21</v>
      </c>
      <c r="B162" s="35" t="s">
        <v>35</v>
      </c>
      <c r="C162" s="35" t="s">
        <v>36</v>
      </c>
      <c r="D162" s="35" t="s">
        <v>34</v>
      </c>
      <c r="E162" s="35" t="s">
        <v>25</v>
      </c>
      <c r="F162" s="35" t="s">
        <v>25</v>
      </c>
      <c r="G162" s="35" t="s">
        <v>25</v>
      </c>
      <c r="H162" s="35" t="s">
        <v>37</v>
      </c>
      <c r="I162" s="54">
        <v>44713</v>
      </c>
      <c r="J162" s="55">
        <f>EFEITO!$J$162*EFEITO!$Y$162</f>
        <v>0</v>
      </c>
      <c r="K162" s="55">
        <f ca="1">EFEITO!$L$162*EFEITO!$Z$162</f>
        <v>8106.9495110463713</v>
      </c>
      <c r="L162" s="55">
        <f>EFEITO!$N$162*EFEITO!$AA$162</f>
        <v>681.05068653494095</v>
      </c>
      <c r="M162" s="55">
        <f>$J$162-EFEITO!$K$162*EFEITO!$Y$162</f>
        <v>0</v>
      </c>
      <c r="N162" s="55">
        <f ca="1">$K$162-EFEITO!$M$162*EFEITO!$Z$162</f>
        <v>0</v>
      </c>
      <c r="O162" s="55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5" t="s">
        <v>21</v>
      </c>
      <c r="B163" s="35" t="s">
        <v>35</v>
      </c>
      <c r="C163" s="35" t="s">
        <v>36</v>
      </c>
      <c r="D163" s="35" t="s">
        <v>34</v>
      </c>
      <c r="E163" s="35" t="s">
        <v>25</v>
      </c>
      <c r="F163" s="35" t="s">
        <v>25</v>
      </c>
      <c r="G163" s="35" t="s">
        <v>25</v>
      </c>
      <c r="H163" s="35" t="s">
        <v>37</v>
      </c>
      <c r="I163" s="54">
        <v>44743</v>
      </c>
      <c r="J163" s="55">
        <f>EFEITO!$J$163*EFEITO!$Y$163</f>
        <v>0</v>
      </c>
      <c r="K163" s="55">
        <f ca="1">EFEITO!$L$163*EFEITO!$Z$163</f>
        <v>8042.9414697122174</v>
      </c>
      <c r="L163" s="55">
        <f>EFEITO!$N$163*EFEITO!$AA$163</f>
        <v>675.6734826390757</v>
      </c>
      <c r="M163" s="55">
        <f>$J$163-EFEITO!$K$163*EFEITO!$Y$163</f>
        <v>0</v>
      </c>
      <c r="N163" s="55">
        <f ca="1">$K$163-EFEITO!$M$163*EFEITO!$Z$163</f>
        <v>0</v>
      </c>
      <c r="O163" s="55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5" t="s">
        <v>21</v>
      </c>
      <c r="B164" s="35" t="s">
        <v>35</v>
      </c>
      <c r="C164" s="35" t="s">
        <v>36</v>
      </c>
      <c r="D164" s="35" t="s">
        <v>34</v>
      </c>
      <c r="E164" s="35" t="s">
        <v>25</v>
      </c>
      <c r="F164" s="35" t="s">
        <v>25</v>
      </c>
      <c r="G164" s="35" t="s">
        <v>25</v>
      </c>
      <c r="H164" s="35" t="s">
        <v>37</v>
      </c>
      <c r="I164" s="54">
        <v>44774</v>
      </c>
      <c r="J164" s="55">
        <f>EFEITO!$J$164*EFEITO!$Y$164</f>
        <v>0</v>
      </c>
      <c r="K164" s="55">
        <f ca="1">EFEITO!$L$164*EFEITO!$Z$164</f>
        <v>10808.530290115459</v>
      </c>
      <c r="L164" s="55">
        <f>EFEITO!$N$164*EFEITO!$AA$164</f>
        <v>908.00577510525625</v>
      </c>
      <c r="M164" s="55">
        <f>$J$164-EFEITO!$K$164*EFEITO!$Y$164</f>
        <v>0</v>
      </c>
      <c r="N164" s="55">
        <f ca="1">$K$164-EFEITO!$M$164*EFEITO!$Z$164</f>
        <v>0</v>
      </c>
      <c r="O164" s="55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5" t="s">
        <v>21</v>
      </c>
      <c r="B165" s="35" t="s">
        <v>35</v>
      </c>
      <c r="C165" s="35" t="s">
        <v>36</v>
      </c>
      <c r="D165" s="35" t="s">
        <v>41</v>
      </c>
      <c r="E165" s="35" t="s">
        <v>50</v>
      </c>
      <c r="F165" s="35" t="s">
        <v>52</v>
      </c>
      <c r="G165" s="35" t="s">
        <v>25</v>
      </c>
      <c r="H165" s="35" t="s">
        <v>38</v>
      </c>
      <c r="I165" s="54">
        <v>44440</v>
      </c>
      <c r="J165" s="55">
        <f>EFEITO!$J$165*EFEITO!$Y$140</f>
        <v>0</v>
      </c>
      <c r="K165" s="55">
        <f ca="1">EFEITO!$L$165*EFEITO!$Z$140</f>
        <v>55547.321425742019</v>
      </c>
      <c r="L165" s="55">
        <f>EFEITO!$N$165*EFEITO!$AA$140</f>
        <v>102844.95797479193</v>
      </c>
      <c r="M165" s="55">
        <f>$J$165-EFEITO!$K$165*EFEITO!$Y$165</f>
        <v>0</v>
      </c>
      <c r="N165" s="55">
        <f ca="1">$K$165-EFEITO!$M$165*EFEITO!$Z$165</f>
        <v>38883.124998019412</v>
      </c>
      <c r="O165" s="55">
        <f>$L$165-EFEITO!$O$165*EFEITO!$AA$165</f>
        <v>71991.470582354348</v>
      </c>
      <c r="P165" s="39"/>
      <c r="Q165" s="39"/>
      <c r="R165" s="39"/>
      <c r="S165" s="39"/>
      <c r="T165" s="39"/>
      <c r="U165" s="39"/>
      <c r="V165" s="39"/>
      <c r="W165" s="3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5" t="s">
        <v>21</v>
      </c>
      <c r="B166" s="35" t="s">
        <v>35</v>
      </c>
      <c r="C166" s="35" t="s">
        <v>36</v>
      </c>
      <c r="D166" s="35" t="s">
        <v>41</v>
      </c>
      <c r="E166" s="35" t="s">
        <v>50</v>
      </c>
      <c r="F166" s="35" t="s">
        <v>52</v>
      </c>
      <c r="G166" s="35" t="s">
        <v>25</v>
      </c>
      <c r="H166" s="35" t="s">
        <v>38</v>
      </c>
      <c r="I166" s="54">
        <v>44470</v>
      </c>
      <c r="J166" s="55">
        <f>EFEITO!$J$166*EFEITO!$Y$140</f>
        <v>0</v>
      </c>
      <c r="K166" s="55">
        <f ca="1">EFEITO!$L$166*EFEITO!$Z$140</f>
        <v>20700.417264545249</v>
      </c>
      <c r="L166" s="55">
        <f>EFEITO!$N$166*EFEITO!$AA$140</f>
        <v>38326.48431983999</v>
      </c>
      <c r="M166" s="55">
        <f>$J$166-EFEITO!$K$166*EFEITO!$Y$166</f>
        <v>0</v>
      </c>
      <c r="N166" s="55">
        <f ca="1">$K$166-EFEITO!$M$166*EFEITO!$Z$166</f>
        <v>14490.292085181674</v>
      </c>
      <c r="O166" s="55">
        <f>$L$166-EFEITO!$O$166*EFEITO!$AA$166</f>
        <v>26828.539023887992</v>
      </c>
      <c r="P166" s="39"/>
      <c r="Q166" s="39"/>
      <c r="R166" s="39"/>
      <c r="S166" s="39"/>
      <c r="T166" s="39"/>
      <c r="U166" s="39"/>
      <c r="V166" s="39"/>
      <c r="W166" s="3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5" t="s">
        <v>21</v>
      </c>
      <c r="B167" s="35" t="s">
        <v>35</v>
      </c>
      <c r="C167" s="35" t="s">
        <v>36</v>
      </c>
      <c r="D167" s="35" t="s">
        <v>41</v>
      </c>
      <c r="E167" s="35" t="s">
        <v>50</v>
      </c>
      <c r="F167" s="35" t="s">
        <v>52</v>
      </c>
      <c r="G167" s="35" t="s">
        <v>25</v>
      </c>
      <c r="H167" s="35" t="s">
        <v>38</v>
      </c>
      <c r="I167" s="54">
        <v>44501</v>
      </c>
      <c r="J167" s="55">
        <f>EFEITO!$J$167*EFEITO!$Y$140</f>
        <v>0</v>
      </c>
      <c r="K167" s="55">
        <f ca="1">EFEITO!$L$167*EFEITO!$Z$140</f>
        <v>9795.1930905207628</v>
      </c>
      <c r="L167" s="55">
        <f>EFEITO!$N$167*EFEITO!$AA$140</f>
        <v>18135.639953337737</v>
      </c>
      <c r="M167" s="55">
        <f>$J$167-EFEITO!$K$167*EFEITO!$Y$167</f>
        <v>0</v>
      </c>
      <c r="N167" s="55">
        <f ca="1">$K$167-EFEITO!$M$167*EFEITO!$Z$167</f>
        <v>6856.6351633645336</v>
      </c>
      <c r="O167" s="55">
        <f>$L$167-EFEITO!$O$167*EFEITO!$AA$167</f>
        <v>12694.947967336415</v>
      </c>
      <c r="P167" s="39"/>
      <c r="Q167" s="39"/>
      <c r="R167" s="39"/>
      <c r="S167" s="39"/>
      <c r="T167" s="39"/>
      <c r="U167" s="39"/>
      <c r="V167" s="39"/>
      <c r="W167" s="3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5" t="s">
        <v>21</v>
      </c>
      <c r="B168" s="35" t="s">
        <v>35</v>
      </c>
      <c r="C168" s="35" t="s">
        <v>36</v>
      </c>
      <c r="D168" s="35" t="s">
        <v>41</v>
      </c>
      <c r="E168" s="35" t="s">
        <v>50</v>
      </c>
      <c r="F168" s="35" t="s">
        <v>52</v>
      </c>
      <c r="G168" s="35" t="s">
        <v>25</v>
      </c>
      <c r="H168" s="35" t="s">
        <v>38</v>
      </c>
      <c r="I168" s="54">
        <v>44531</v>
      </c>
      <c r="J168" s="55">
        <f>EFEITO!$J$168*EFEITO!$Y$140</f>
        <v>0</v>
      </c>
      <c r="K168" s="55">
        <f ca="1">EFEITO!$L$168*EFEITO!$Z$140</f>
        <v>4995.3401700799086</v>
      </c>
      <c r="L168" s="55">
        <f>EFEITO!$N$168*EFEITO!$AA$140</f>
        <v>9248.7907008883358</v>
      </c>
      <c r="M168" s="55">
        <f>$J$168-EFEITO!$K$168*EFEITO!$Y$168</f>
        <v>0</v>
      </c>
      <c r="N168" s="55">
        <f ca="1">$K$168-EFEITO!$M$168*EFEITO!$Z$168</f>
        <v>3496.7381190559363</v>
      </c>
      <c r="O168" s="55">
        <f>$L$168-EFEITO!$O$168*EFEITO!$AA$168</f>
        <v>6474.1534906218349</v>
      </c>
      <c r="P168" s="39"/>
      <c r="Q168" s="39"/>
      <c r="R168" s="39"/>
      <c r="S168" s="39"/>
      <c r="T168" s="39"/>
      <c r="U168" s="39"/>
      <c r="V168" s="39"/>
      <c r="W168" s="3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5" t="s">
        <v>21</v>
      </c>
      <c r="B169" s="35" t="s">
        <v>35</v>
      </c>
      <c r="C169" s="35" t="s">
        <v>36</v>
      </c>
      <c r="D169" s="35" t="s">
        <v>41</v>
      </c>
      <c r="E169" s="35" t="s">
        <v>50</v>
      </c>
      <c r="F169" s="35" t="s">
        <v>52</v>
      </c>
      <c r="G169" s="35" t="s">
        <v>25</v>
      </c>
      <c r="H169" s="35" t="s">
        <v>38</v>
      </c>
      <c r="I169" s="54">
        <v>44562</v>
      </c>
      <c r="J169" s="55">
        <f>EFEITO!$J$169*EFEITO!$Y$140</f>
        <v>0</v>
      </c>
      <c r="K169" s="55">
        <f ca="1">EFEITO!$L$169*EFEITO!$Z$140</f>
        <v>3572.4493694284374</v>
      </c>
      <c r="L169" s="55">
        <f>EFEITO!$N$169*EFEITO!$AA$140</f>
        <v>6614.3316335623231</v>
      </c>
      <c r="M169" s="55">
        <f>$J$169-EFEITO!$K$169*EFEITO!$Y$169</f>
        <v>0</v>
      </c>
      <c r="N169" s="55">
        <f ca="1">$K$169-EFEITO!$M$169*EFEITO!$Z$169</f>
        <v>2500.714558599906</v>
      </c>
      <c r="O169" s="55">
        <f>$L$169-EFEITO!$O$169*EFEITO!$AA$169</f>
        <v>4630.0321434936259</v>
      </c>
      <c r="P169" s="39"/>
      <c r="Q169" s="39"/>
      <c r="R169" s="39"/>
      <c r="S169" s="39"/>
      <c r="T169" s="39"/>
      <c r="U169" s="39"/>
      <c r="V169" s="39"/>
      <c r="W169" s="3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5" t="s">
        <v>21</v>
      </c>
      <c r="B170" s="35" t="s">
        <v>35</v>
      </c>
      <c r="C170" s="35" t="s">
        <v>36</v>
      </c>
      <c r="D170" s="35" t="s">
        <v>41</v>
      </c>
      <c r="E170" s="35" t="s">
        <v>50</v>
      </c>
      <c r="F170" s="35" t="s">
        <v>52</v>
      </c>
      <c r="G170" s="35" t="s">
        <v>25</v>
      </c>
      <c r="H170" s="35" t="s">
        <v>38</v>
      </c>
      <c r="I170" s="54">
        <v>44593</v>
      </c>
      <c r="J170" s="55">
        <f>EFEITO!$J$170*EFEITO!$Y$140</f>
        <v>0</v>
      </c>
      <c r="K170" s="55">
        <f ca="1">EFEITO!$L$170*EFEITO!$Z$140</f>
        <v>7285.7056410046771</v>
      </c>
      <c r="L170" s="55">
        <f>EFEITO!$N$170*EFEITO!$AA$140</f>
        <v>13489.364945662117</v>
      </c>
      <c r="M170" s="55">
        <f>$J$170-EFEITO!$K$170*EFEITO!$Y$170</f>
        <v>0</v>
      </c>
      <c r="N170" s="55">
        <f ca="1">$K$170-EFEITO!$M$170*EFEITO!$Z$170</f>
        <v>5099.9939487032734</v>
      </c>
      <c r="O170" s="55">
        <f>$L$170-EFEITO!$O$170*EFEITO!$AA$170</f>
        <v>9442.5554619634822</v>
      </c>
      <c r="P170" s="39"/>
      <c r="Q170" s="39"/>
      <c r="R170" s="39"/>
      <c r="S170" s="39"/>
      <c r="T170" s="39"/>
      <c r="U170" s="39"/>
      <c r="V170" s="39"/>
      <c r="W170" s="3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5" t="s">
        <v>21</v>
      </c>
      <c r="B171" s="35" t="s">
        <v>35</v>
      </c>
      <c r="C171" s="35" t="s">
        <v>36</v>
      </c>
      <c r="D171" s="35" t="s">
        <v>41</v>
      </c>
      <c r="E171" s="35" t="s">
        <v>50</v>
      </c>
      <c r="F171" s="35" t="s">
        <v>52</v>
      </c>
      <c r="G171" s="35" t="s">
        <v>25</v>
      </c>
      <c r="H171" s="35" t="s">
        <v>38</v>
      </c>
      <c r="I171" s="54">
        <v>44621</v>
      </c>
      <c r="J171" s="55">
        <f>EFEITO!$J$171*EFEITO!$Y$140</f>
        <v>0</v>
      </c>
      <c r="K171" s="55">
        <f ca="1">EFEITO!$L$171*EFEITO!$Z$140</f>
        <v>8484.8676938622721</v>
      </c>
      <c r="L171" s="55">
        <f>EFEITO!$N$171*EFEITO!$AA$140</f>
        <v>15709.593892182505</v>
      </c>
      <c r="M171" s="55">
        <f>$J$171-EFEITO!$K$171*EFEITO!$Y$171</f>
        <v>0</v>
      </c>
      <c r="N171" s="55">
        <f ca="1">$K$171-EFEITO!$M$171*EFEITO!$Z$171</f>
        <v>5939.407385703591</v>
      </c>
      <c r="O171" s="55">
        <f>$L$171-EFEITO!$O$171*EFEITO!$AA$171</f>
        <v>10996.715724527754</v>
      </c>
      <c r="P171" s="39"/>
      <c r="Q171" s="39"/>
      <c r="R171" s="39"/>
      <c r="S171" s="39"/>
      <c r="T171" s="39"/>
      <c r="U171" s="39"/>
      <c r="V171" s="39"/>
      <c r="W171" s="3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5" t="s">
        <v>21</v>
      </c>
      <c r="B172" s="35" t="s">
        <v>35</v>
      </c>
      <c r="C172" s="35" t="s">
        <v>36</v>
      </c>
      <c r="D172" s="35" t="s">
        <v>41</v>
      </c>
      <c r="E172" s="35" t="s">
        <v>50</v>
      </c>
      <c r="F172" s="35" t="s">
        <v>52</v>
      </c>
      <c r="G172" s="35" t="s">
        <v>25</v>
      </c>
      <c r="H172" s="35" t="s">
        <v>38</v>
      </c>
      <c r="I172" s="54">
        <v>44652</v>
      </c>
      <c r="J172" s="55">
        <f>EFEITO!$J$172*EFEITO!$Y$140</f>
        <v>0</v>
      </c>
      <c r="K172" s="55">
        <f ca="1">EFEITO!$L$172*EFEITO!$Z$140</f>
        <v>19066.516404985228</v>
      </c>
      <c r="L172" s="55">
        <f>EFEITO!$N$172*EFEITO!$AA$140</f>
        <v>35301.343576355765</v>
      </c>
      <c r="M172" s="55">
        <f>$J$172-EFEITO!$K$172*EFEITO!$Y$172</f>
        <v>0</v>
      </c>
      <c r="N172" s="55">
        <f ca="1">$K$172-EFEITO!$M$172*EFEITO!$Z$172</f>
        <v>13346.561483489659</v>
      </c>
      <c r="O172" s="55">
        <f>$L$172-EFEITO!$O$172*EFEITO!$AA$172</f>
        <v>24710.940503449034</v>
      </c>
      <c r="P172" s="39"/>
      <c r="Q172" s="39"/>
      <c r="R172" s="39"/>
      <c r="S172" s="39"/>
      <c r="T172" s="39"/>
      <c r="U172" s="39"/>
      <c r="V172" s="39"/>
      <c r="W172" s="3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5" t="s">
        <v>21</v>
      </c>
      <c r="B173" s="35" t="s">
        <v>35</v>
      </c>
      <c r="C173" s="35" t="s">
        <v>36</v>
      </c>
      <c r="D173" s="35" t="s">
        <v>41</v>
      </c>
      <c r="E173" s="35" t="s">
        <v>50</v>
      </c>
      <c r="F173" s="35" t="s">
        <v>52</v>
      </c>
      <c r="G173" s="35" t="s">
        <v>25</v>
      </c>
      <c r="H173" s="35" t="s">
        <v>38</v>
      </c>
      <c r="I173" s="54">
        <v>44682</v>
      </c>
      <c r="J173" s="55">
        <f>EFEITO!$J$173*EFEITO!$Y$140</f>
        <v>0</v>
      </c>
      <c r="K173" s="55">
        <f ca="1">EFEITO!$L$173*EFEITO!$Z$140</f>
        <v>39745.201736553186</v>
      </c>
      <c r="L173" s="55">
        <f>EFEITO!$N$173*EFEITO!$AA$140</f>
        <v>73587.591577388768</v>
      </c>
      <c r="M173" s="55">
        <f>$J$173-EFEITO!$K$173*EFEITO!$Y$173</f>
        <v>0</v>
      </c>
      <c r="N173" s="55">
        <f ca="1">$K$173-EFEITO!$M$173*EFEITO!$Z$173</f>
        <v>27821.641215587231</v>
      </c>
      <c r="O173" s="55">
        <f>$L$173-EFEITO!$O$173*EFEITO!$AA$173</f>
        <v>51511.314104172139</v>
      </c>
      <c r="P173" s="39"/>
      <c r="Q173" s="39"/>
      <c r="R173" s="39"/>
      <c r="S173" s="39"/>
      <c r="T173" s="39"/>
      <c r="U173" s="39"/>
      <c r="V173" s="39"/>
      <c r="W173" s="3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5" t="s">
        <v>21</v>
      </c>
      <c r="B174" s="35" t="s">
        <v>35</v>
      </c>
      <c r="C174" s="35" t="s">
        <v>36</v>
      </c>
      <c r="D174" s="35" t="s">
        <v>41</v>
      </c>
      <c r="E174" s="35" t="s">
        <v>50</v>
      </c>
      <c r="F174" s="35" t="s">
        <v>52</v>
      </c>
      <c r="G174" s="35" t="s">
        <v>25</v>
      </c>
      <c r="H174" s="35" t="s">
        <v>38</v>
      </c>
      <c r="I174" s="54">
        <v>44713</v>
      </c>
      <c r="J174" s="55">
        <f>EFEITO!$J$174*EFEITO!$Y$140</f>
        <v>0</v>
      </c>
      <c r="K174" s="55">
        <f ca="1">EFEITO!$L$174*EFEITO!$Z$140</f>
        <v>11223.89242625372</v>
      </c>
      <c r="L174" s="55">
        <f>EFEITO!$N$174*EFEITO!$AA$140</f>
        <v>20780.853428455477</v>
      </c>
      <c r="M174" s="55">
        <f>$J$174-EFEITO!$K$174*EFEITO!$Y$174</f>
        <v>0</v>
      </c>
      <c r="N174" s="55">
        <f ca="1">$K$174-EFEITO!$M$174*EFEITO!$Z$174</f>
        <v>7856.724698377604</v>
      </c>
      <c r="O174" s="55">
        <f>$L$174-EFEITO!$O$174*EFEITO!$AA$174</f>
        <v>14546.597399918834</v>
      </c>
      <c r="P174" s="39"/>
      <c r="Q174" s="39"/>
      <c r="R174" s="39"/>
      <c r="S174" s="39"/>
      <c r="T174" s="39"/>
      <c r="U174" s="39"/>
      <c r="V174" s="39"/>
      <c r="W174" s="3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5" t="s">
        <v>21</v>
      </c>
      <c r="B175" s="35" t="s">
        <v>35</v>
      </c>
      <c r="C175" s="35" t="s">
        <v>36</v>
      </c>
      <c r="D175" s="35" t="s">
        <v>41</v>
      </c>
      <c r="E175" s="35" t="s">
        <v>50</v>
      </c>
      <c r="F175" s="35" t="s">
        <v>52</v>
      </c>
      <c r="G175" s="35" t="s">
        <v>25</v>
      </c>
      <c r="H175" s="35" t="s">
        <v>38</v>
      </c>
      <c r="I175" s="54">
        <v>44743</v>
      </c>
      <c r="J175" s="55">
        <f>EFEITO!$J$175*EFEITO!$Y$140</f>
        <v>0</v>
      </c>
      <c r="K175" s="55">
        <f ca="1">EFEITO!$L$175*EFEITO!$Z$140</f>
        <v>29598.892715072114</v>
      </c>
      <c r="L175" s="55">
        <f>EFEITO!$N$175*EFEITO!$AA$140</f>
        <v>54801.866215123315</v>
      </c>
      <c r="M175" s="55">
        <f>$J$175-EFEITO!$K$175*EFEITO!$Y$175</f>
        <v>0</v>
      </c>
      <c r="N175" s="55">
        <f ca="1">$K$175-EFEITO!$M$175*EFEITO!$Z$175</f>
        <v>20719.224900550478</v>
      </c>
      <c r="O175" s="55">
        <f>$L$175-EFEITO!$O$175*EFEITO!$AA$175</f>
        <v>38361.306350586317</v>
      </c>
      <c r="P175" s="39"/>
      <c r="Q175" s="39"/>
      <c r="R175" s="39"/>
      <c r="S175" s="39"/>
      <c r="T175" s="39"/>
      <c r="U175" s="39"/>
      <c r="V175" s="39"/>
      <c r="W175" s="3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5" t="s">
        <v>21</v>
      </c>
      <c r="B176" s="35" t="s">
        <v>35</v>
      </c>
      <c r="C176" s="35" t="s">
        <v>36</v>
      </c>
      <c r="D176" s="35" t="s">
        <v>41</v>
      </c>
      <c r="E176" s="35" t="s">
        <v>50</v>
      </c>
      <c r="F176" s="35" t="s">
        <v>52</v>
      </c>
      <c r="G176" s="35" t="s">
        <v>25</v>
      </c>
      <c r="H176" s="35" t="s">
        <v>38</v>
      </c>
      <c r="I176" s="54">
        <v>44774</v>
      </c>
      <c r="J176" s="55">
        <f>EFEITO!$J$176*EFEITO!$Y$140</f>
        <v>0</v>
      </c>
      <c r="K176" s="55">
        <f ca="1">EFEITO!$L$176*EFEITO!$Z$140</f>
        <v>50257.047879541708</v>
      </c>
      <c r="L176" s="55">
        <f>EFEITO!$N$176*EFEITO!$AA$140</f>
        <v>93050.102947237276</v>
      </c>
      <c r="M176" s="55">
        <f>$J$176-EFEITO!$K$176*EFEITO!$Y$176</f>
        <v>0</v>
      </c>
      <c r="N176" s="55">
        <f ca="1">$K$176-EFEITO!$M$176*EFEITO!$Z$176</f>
        <v>35179.933515679193</v>
      </c>
      <c r="O176" s="55">
        <f>$L$176-EFEITO!$O$176*EFEITO!$AA$176</f>
        <v>65135.072063066094</v>
      </c>
      <c r="P176" s="39"/>
      <c r="Q176" s="39"/>
      <c r="R176" s="39"/>
      <c r="S176" s="39"/>
      <c r="T176" s="39"/>
      <c r="U176" s="39"/>
      <c r="V176" s="39"/>
      <c r="W176" s="3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5" t="s">
        <v>21</v>
      </c>
      <c r="B177" s="35" t="s">
        <v>35</v>
      </c>
      <c r="C177" s="35" t="s">
        <v>36</v>
      </c>
      <c r="D177" s="35" t="s">
        <v>41</v>
      </c>
      <c r="E177" s="35" t="s">
        <v>50</v>
      </c>
      <c r="F177" s="35" t="s">
        <v>25</v>
      </c>
      <c r="G177" s="35" t="s">
        <v>25</v>
      </c>
      <c r="H177" s="35" t="s">
        <v>38</v>
      </c>
      <c r="I177" s="54">
        <v>44440</v>
      </c>
      <c r="J177" s="55">
        <f>EFEITO!$J$177*EFEITO!$Y$140</f>
        <v>0</v>
      </c>
      <c r="K177" s="55">
        <f ca="1">EFEITO!$L$177*EFEITO!$Z$140</f>
        <v>82376.143789883688</v>
      </c>
      <c r="L177" s="55">
        <f>EFEITO!$N$177*EFEITO!$AA$140</f>
        <v>152518.08419820372</v>
      </c>
      <c r="M177" s="55">
        <f>$J$177-EFEITO!$K$177*EFEITO!$Y$177</f>
        <v>0</v>
      </c>
      <c r="N177" s="55">
        <f ca="1">$K$177-EFEITO!$M$177*EFEITO!$Z$177</f>
        <v>1647.5228757976729</v>
      </c>
      <c r="O177" s="55">
        <f>$L$177-EFEITO!$O$177*EFEITO!$AA$177</f>
        <v>3050.3616839640599</v>
      </c>
      <c r="P177" s="39"/>
      <c r="Q177" s="39"/>
      <c r="R177" s="39"/>
      <c r="S177" s="39"/>
      <c r="T177" s="39"/>
      <c r="U177" s="39"/>
      <c r="V177" s="39"/>
      <c r="W177" s="3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5" t="s">
        <v>21</v>
      </c>
      <c r="B178" s="35" t="s">
        <v>35</v>
      </c>
      <c r="C178" s="35" t="s">
        <v>36</v>
      </c>
      <c r="D178" s="35" t="s">
        <v>41</v>
      </c>
      <c r="E178" s="35" t="s">
        <v>50</v>
      </c>
      <c r="F178" s="35" t="s">
        <v>25</v>
      </c>
      <c r="G178" s="35" t="s">
        <v>25</v>
      </c>
      <c r="H178" s="35" t="s">
        <v>38</v>
      </c>
      <c r="I178" s="54">
        <v>44470</v>
      </c>
      <c r="J178" s="55">
        <f>EFEITO!$J$178*EFEITO!$Y$140</f>
        <v>0</v>
      </c>
      <c r="K178" s="55">
        <f ca="1">EFEITO!$L$178*EFEITO!$Z$140</f>
        <v>35804.711566702863</v>
      </c>
      <c r="L178" s="55">
        <f>EFEITO!$N$178*EFEITO!$AA$140</f>
        <v>66291.83841564352</v>
      </c>
      <c r="M178" s="55">
        <f>$J$178-EFEITO!$K$178*EFEITO!$Y$178</f>
        <v>0</v>
      </c>
      <c r="N178" s="55">
        <f ca="1">$K$178-EFEITO!$M$178*EFEITO!$Z$178</f>
        <v>716.09423133405653</v>
      </c>
      <c r="O178" s="55">
        <f>$L$178-EFEITO!$O$178*EFEITO!$AA$178</f>
        <v>1325.8367683128672</v>
      </c>
      <c r="P178" s="39"/>
      <c r="Q178" s="39"/>
      <c r="R178" s="39"/>
      <c r="S178" s="39"/>
      <c r="T178" s="39"/>
      <c r="U178" s="39"/>
      <c r="V178" s="39"/>
      <c r="W178" s="3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5" t="s">
        <v>21</v>
      </c>
      <c r="B179" s="35" t="s">
        <v>35</v>
      </c>
      <c r="C179" s="35" t="s">
        <v>36</v>
      </c>
      <c r="D179" s="35" t="s">
        <v>41</v>
      </c>
      <c r="E179" s="35" t="s">
        <v>50</v>
      </c>
      <c r="F179" s="35" t="s">
        <v>25</v>
      </c>
      <c r="G179" s="35" t="s">
        <v>25</v>
      </c>
      <c r="H179" s="35" t="s">
        <v>38</v>
      </c>
      <c r="I179" s="54">
        <v>44501</v>
      </c>
      <c r="J179" s="55">
        <f>EFEITO!$J$179*EFEITO!$Y$140</f>
        <v>0</v>
      </c>
      <c r="K179" s="55">
        <f ca="1">EFEITO!$L$179*EFEITO!$Z$140</f>
        <v>14595.146158118194</v>
      </c>
      <c r="L179" s="55">
        <f>EFEITO!$N$179*EFEITO!$AA$140</f>
        <v>27022.674626611133</v>
      </c>
      <c r="M179" s="55">
        <f>$J$179-EFEITO!$K$179*EFEITO!$Y$179</f>
        <v>0</v>
      </c>
      <c r="N179" s="55">
        <f ca="1">$K$179-EFEITO!$M$179*EFEITO!$Z$179</f>
        <v>291.90292316236446</v>
      </c>
      <c r="O179" s="55">
        <f>$L$179-EFEITO!$O$179*EFEITO!$AA$179</f>
        <v>540.4534925322223</v>
      </c>
      <c r="P179" s="39"/>
      <c r="Q179" s="39"/>
      <c r="R179" s="39"/>
      <c r="S179" s="39"/>
      <c r="T179" s="39"/>
      <c r="U179" s="39"/>
      <c r="V179" s="39"/>
      <c r="W179" s="3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5" t="s">
        <v>21</v>
      </c>
      <c r="B180" s="35" t="s">
        <v>35</v>
      </c>
      <c r="C180" s="35" t="s">
        <v>36</v>
      </c>
      <c r="D180" s="35" t="s">
        <v>41</v>
      </c>
      <c r="E180" s="35" t="s">
        <v>50</v>
      </c>
      <c r="F180" s="35" t="s">
        <v>25</v>
      </c>
      <c r="G180" s="35" t="s">
        <v>25</v>
      </c>
      <c r="H180" s="35" t="s">
        <v>38</v>
      </c>
      <c r="I180" s="54">
        <v>44531</v>
      </c>
      <c r="J180" s="55">
        <f>EFEITO!$J$180*EFEITO!$Y$140</f>
        <v>0</v>
      </c>
      <c r="K180" s="55">
        <f ca="1">EFEITO!$L$180*EFEITO!$Z$140</f>
        <v>5692.7649684848093</v>
      </c>
      <c r="L180" s="55">
        <f>EFEITO!$N$180*EFEITO!$AA$140</f>
        <v>10540.061319191991</v>
      </c>
      <c r="M180" s="55">
        <f>$J$180-EFEITO!$K$180*EFEITO!$Y$180</f>
        <v>0</v>
      </c>
      <c r="N180" s="55">
        <f ca="1">$K$180-EFEITO!$M$180*EFEITO!$Z$180</f>
        <v>113.85529936969579</v>
      </c>
      <c r="O180" s="55">
        <f>$L$180-EFEITO!$O$180*EFEITO!$AA$180</f>
        <v>210.80122638383909</v>
      </c>
      <c r="P180" s="39"/>
      <c r="Q180" s="39"/>
      <c r="R180" s="39"/>
      <c r="S180" s="39"/>
      <c r="T180" s="39"/>
      <c r="U180" s="39"/>
      <c r="V180" s="39"/>
      <c r="W180" s="3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5" t="s">
        <v>21</v>
      </c>
      <c r="B181" s="35" t="s">
        <v>35</v>
      </c>
      <c r="C181" s="35" t="s">
        <v>36</v>
      </c>
      <c r="D181" s="35" t="s">
        <v>41</v>
      </c>
      <c r="E181" s="35" t="s">
        <v>50</v>
      </c>
      <c r="F181" s="35" t="s">
        <v>25</v>
      </c>
      <c r="G181" s="35" t="s">
        <v>25</v>
      </c>
      <c r="H181" s="35" t="s">
        <v>38</v>
      </c>
      <c r="I181" s="54">
        <v>44562</v>
      </c>
      <c r="J181" s="55">
        <f>EFEITO!$J$181*EFEITO!$Y$140</f>
        <v>0</v>
      </c>
      <c r="K181" s="55">
        <f ca="1">EFEITO!$L$181*EFEITO!$Z$140</f>
        <v>5352.7653719045911</v>
      </c>
      <c r="L181" s="55">
        <f>EFEITO!$N$181*EFEITO!$AA$140</f>
        <v>9910.5576217277594</v>
      </c>
      <c r="M181" s="55">
        <f>$J$181-EFEITO!$K$181*EFEITO!$Y$181</f>
        <v>0</v>
      </c>
      <c r="N181" s="55">
        <f ca="1">$K$181-EFEITO!$M$181*EFEITO!$Z$181</f>
        <v>107.05530743809231</v>
      </c>
      <c r="O181" s="55">
        <f>$L$181-EFEITO!$O$181*EFEITO!$AA$181</f>
        <v>198.21115243455461</v>
      </c>
      <c r="P181" s="39"/>
      <c r="Q181" s="39"/>
      <c r="R181" s="39"/>
      <c r="S181" s="39"/>
      <c r="T181" s="39"/>
      <c r="U181" s="39"/>
      <c r="V181" s="39"/>
      <c r="W181" s="3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5" t="s">
        <v>21</v>
      </c>
      <c r="B182" s="35" t="s">
        <v>35</v>
      </c>
      <c r="C182" s="35" t="s">
        <v>36</v>
      </c>
      <c r="D182" s="35" t="s">
        <v>41</v>
      </c>
      <c r="E182" s="35" t="s">
        <v>50</v>
      </c>
      <c r="F182" s="35" t="s">
        <v>25</v>
      </c>
      <c r="G182" s="35" t="s">
        <v>25</v>
      </c>
      <c r="H182" s="35" t="s">
        <v>38</v>
      </c>
      <c r="I182" s="54">
        <v>44593</v>
      </c>
      <c r="J182" s="55">
        <f>EFEITO!$J$182*EFEITO!$Y$140</f>
        <v>0</v>
      </c>
      <c r="K182" s="55">
        <f ca="1">EFEITO!$L$182*EFEITO!$Z$140</f>
        <v>7427.2135732485203</v>
      </c>
      <c r="L182" s="55">
        <f>EFEITO!$N$182*EFEITO!$AA$140</f>
        <v>13751.364569967554</v>
      </c>
      <c r="M182" s="55">
        <f>$J$182-EFEITO!$K$182*EFEITO!$Y$182</f>
        <v>0</v>
      </c>
      <c r="N182" s="55">
        <f ca="1">$K$182-EFEITO!$M$182*EFEITO!$Z$182</f>
        <v>148.54427146497073</v>
      </c>
      <c r="O182" s="55">
        <f>$L$182-EFEITO!$O$182*EFEITO!$AA$182</f>
        <v>275.02729139935036</v>
      </c>
      <c r="P182" s="39"/>
      <c r="Q182" s="39"/>
      <c r="R182" s="39"/>
      <c r="S182" s="39"/>
      <c r="T182" s="39"/>
      <c r="U182" s="39"/>
      <c r="V182" s="39"/>
      <c r="W182" s="3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5" t="s">
        <v>21</v>
      </c>
      <c r="B183" s="35" t="s">
        <v>35</v>
      </c>
      <c r="C183" s="35" t="s">
        <v>36</v>
      </c>
      <c r="D183" s="35" t="s">
        <v>41</v>
      </c>
      <c r="E183" s="35" t="s">
        <v>50</v>
      </c>
      <c r="F183" s="35" t="s">
        <v>25</v>
      </c>
      <c r="G183" s="35" t="s">
        <v>25</v>
      </c>
      <c r="H183" s="35" t="s">
        <v>38</v>
      </c>
      <c r="I183" s="54">
        <v>44621</v>
      </c>
      <c r="J183" s="55">
        <f>EFEITO!$J$183*EFEITO!$Y$140</f>
        <v>0</v>
      </c>
      <c r="K183" s="55">
        <f ca="1">EFEITO!$L$183*EFEITO!$Z$140</f>
        <v>6630.943531301742</v>
      </c>
      <c r="L183" s="55">
        <f>EFEITO!$N$183*EFEITO!$AA$140</f>
        <v>12277.083598380483</v>
      </c>
      <c r="M183" s="55">
        <f>$J$183-EFEITO!$K$183*EFEITO!$Y$183</f>
        <v>0</v>
      </c>
      <c r="N183" s="55">
        <f ca="1">$K$183-EFEITO!$M$183*EFEITO!$Z$183</f>
        <v>132.61887062603546</v>
      </c>
      <c r="O183" s="55">
        <f>$L$183-EFEITO!$O$183*EFEITO!$AA$183</f>
        <v>245.54167196760864</v>
      </c>
      <c r="P183" s="39"/>
      <c r="Q183" s="39"/>
      <c r="R183" s="39"/>
      <c r="S183" s="39"/>
      <c r="T183" s="39"/>
      <c r="U183" s="39"/>
      <c r="V183" s="39"/>
      <c r="W183" s="3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5" t="s">
        <v>21</v>
      </c>
      <c r="B184" s="35" t="s">
        <v>35</v>
      </c>
      <c r="C184" s="35" t="s">
        <v>36</v>
      </c>
      <c r="D184" s="35" t="s">
        <v>41</v>
      </c>
      <c r="E184" s="35" t="s">
        <v>50</v>
      </c>
      <c r="F184" s="35" t="s">
        <v>25</v>
      </c>
      <c r="G184" s="35" t="s">
        <v>25</v>
      </c>
      <c r="H184" s="35" t="s">
        <v>38</v>
      </c>
      <c r="I184" s="54">
        <v>44652</v>
      </c>
      <c r="J184" s="55">
        <f>EFEITO!$J$184*EFEITO!$Y$140</f>
        <v>0</v>
      </c>
      <c r="K184" s="55">
        <f ca="1">EFEITO!$L$184*EFEITO!$Z$140</f>
        <v>17911.819689647993</v>
      </c>
      <c r="L184" s="55">
        <f>EFEITO!$N$184*EFEITO!$AA$140</f>
        <v>33163.441475689317</v>
      </c>
      <c r="M184" s="55">
        <f>$J$184-EFEITO!$K$184*EFEITO!$Y$184</f>
        <v>0</v>
      </c>
      <c r="N184" s="55">
        <f ca="1">$K$184-EFEITO!$M$184*EFEITO!$Z$184</f>
        <v>358.23639379296219</v>
      </c>
      <c r="O184" s="55">
        <f>$L$184-EFEITO!$O$184*EFEITO!$AA$184</f>
        <v>663.26882951378502</v>
      </c>
      <c r="P184" s="39"/>
      <c r="Q184" s="39"/>
      <c r="R184" s="39"/>
      <c r="S184" s="39"/>
      <c r="T184" s="39"/>
      <c r="U184" s="39"/>
      <c r="V184" s="39"/>
      <c r="W184" s="3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5" t="s">
        <v>21</v>
      </c>
      <c r="B185" s="35" t="s">
        <v>35</v>
      </c>
      <c r="C185" s="35" t="s">
        <v>36</v>
      </c>
      <c r="D185" s="35" t="s">
        <v>41</v>
      </c>
      <c r="E185" s="35" t="s">
        <v>50</v>
      </c>
      <c r="F185" s="35" t="s">
        <v>25</v>
      </c>
      <c r="G185" s="35" t="s">
        <v>25</v>
      </c>
      <c r="H185" s="35" t="s">
        <v>38</v>
      </c>
      <c r="I185" s="54">
        <v>44682</v>
      </c>
      <c r="J185" s="55">
        <f>EFEITO!$J$185*EFEITO!$Y$140</f>
        <v>0</v>
      </c>
      <c r="K185" s="55">
        <f ca="1">EFEITO!$L$185*EFEITO!$Z$140</f>
        <v>46957.299217473483</v>
      </c>
      <c r="L185" s="55">
        <f>EFEITO!$N$185*EFEITO!$AA$140</f>
        <v>86940.672217414292</v>
      </c>
      <c r="M185" s="55">
        <f>$J$185-EFEITO!$K$185*EFEITO!$Y$185</f>
        <v>0</v>
      </c>
      <c r="N185" s="55">
        <f ca="1">$K$185-EFEITO!$M$185*EFEITO!$Z$185</f>
        <v>939.14598434946674</v>
      </c>
      <c r="O185" s="55">
        <f>$L$185-EFEITO!$O$185*EFEITO!$AA$185</f>
        <v>1738.8134443482704</v>
      </c>
      <c r="P185" s="39"/>
      <c r="Q185" s="39"/>
      <c r="R185" s="39"/>
      <c r="S185" s="39"/>
      <c r="T185" s="39"/>
      <c r="U185" s="39"/>
      <c r="V185" s="39"/>
      <c r="W185" s="3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5" t="s">
        <v>21</v>
      </c>
      <c r="B186" s="35" t="s">
        <v>35</v>
      </c>
      <c r="C186" s="35" t="s">
        <v>36</v>
      </c>
      <c r="D186" s="35" t="s">
        <v>41</v>
      </c>
      <c r="E186" s="35" t="s">
        <v>50</v>
      </c>
      <c r="F186" s="35" t="s">
        <v>25</v>
      </c>
      <c r="G186" s="35" t="s">
        <v>25</v>
      </c>
      <c r="H186" s="35" t="s">
        <v>38</v>
      </c>
      <c r="I186" s="54">
        <v>44713</v>
      </c>
      <c r="J186" s="55">
        <f>EFEITO!$J$186*EFEITO!$Y$140</f>
        <v>0</v>
      </c>
      <c r="K186" s="55">
        <f ca="1">EFEITO!$L$186*EFEITO!$Z$140</f>
        <v>10620.60595503156</v>
      </c>
      <c r="L186" s="55">
        <f>EFEITO!$N$186*EFEITO!$AA$140</f>
        <v>19663.878384707456</v>
      </c>
      <c r="M186" s="55">
        <f>$J$186-EFEITO!$K$186*EFEITO!$Y$186</f>
        <v>0</v>
      </c>
      <c r="N186" s="55">
        <f ca="1">$K$186-EFEITO!$M$186*EFEITO!$Z$186</f>
        <v>212.41211910063248</v>
      </c>
      <c r="O186" s="55">
        <f>$L$186-EFEITO!$O$186*EFEITO!$AA$186</f>
        <v>393.27756769414555</v>
      </c>
      <c r="P186" s="39"/>
      <c r="Q186" s="39"/>
      <c r="R186" s="39"/>
      <c r="S186" s="39"/>
      <c r="T186" s="39"/>
      <c r="U186" s="39"/>
      <c r="V186" s="39"/>
      <c r="W186" s="3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5" t="s">
        <v>21</v>
      </c>
      <c r="B187" s="35" t="s">
        <v>35</v>
      </c>
      <c r="C187" s="35" t="s">
        <v>36</v>
      </c>
      <c r="D187" s="35" t="s">
        <v>41</v>
      </c>
      <c r="E187" s="35" t="s">
        <v>50</v>
      </c>
      <c r="F187" s="35" t="s">
        <v>25</v>
      </c>
      <c r="G187" s="35" t="s">
        <v>25</v>
      </c>
      <c r="H187" s="35" t="s">
        <v>38</v>
      </c>
      <c r="I187" s="54">
        <v>44743</v>
      </c>
      <c r="J187" s="55">
        <f>EFEITO!$J$187*EFEITO!$Y$140</f>
        <v>0</v>
      </c>
      <c r="K187" s="55">
        <f ca="1">EFEITO!$L$187*EFEITO!$Z$140</f>
        <v>36170.148541053735</v>
      </c>
      <c r="L187" s="55">
        <f>EFEITO!$N$187*EFEITO!$AA$140</f>
        <v>66968.439002402578</v>
      </c>
      <c r="M187" s="55">
        <f>$J$187-EFEITO!$K$187*EFEITO!$Y$187</f>
        <v>0</v>
      </c>
      <c r="N187" s="55">
        <f ca="1">$K$187-EFEITO!$M$187*EFEITO!$Z$187</f>
        <v>723.40297082107281</v>
      </c>
      <c r="O187" s="55">
        <f>$L$187-EFEITO!$O$187*EFEITO!$AA$187</f>
        <v>1339.3687800480548</v>
      </c>
      <c r="P187" s="39"/>
      <c r="Q187" s="39"/>
      <c r="R187" s="39"/>
      <c r="S187" s="39"/>
      <c r="T187" s="39"/>
      <c r="U187" s="39"/>
      <c r="V187" s="39"/>
      <c r="W187" s="3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5" t="s">
        <v>21</v>
      </c>
      <c r="B188" s="35" t="s">
        <v>35</v>
      </c>
      <c r="C188" s="35" t="s">
        <v>36</v>
      </c>
      <c r="D188" s="35" t="s">
        <v>41</v>
      </c>
      <c r="E188" s="35" t="s">
        <v>50</v>
      </c>
      <c r="F188" s="35" t="s">
        <v>25</v>
      </c>
      <c r="G188" s="35" t="s">
        <v>25</v>
      </c>
      <c r="H188" s="35" t="s">
        <v>38</v>
      </c>
      <c r="I188" s="54">
        <v>44774</v>
      </c>
      <c r="J188" s="55">
        <f>EFEITO!$J$188*EFEITO!$Y$140</f>
        <v>0</v>
      </c>
      <c r="K188" s="55">
        <f ca="1">EFEITO!$L$188*EFEITO!$Z$140</f>
        <v>66974.91316847413</v>
      </c>
      <c r="L188" s="55">
        <f>EFEITO!$N$188*EFEITO!$AA$140</f>
        <v>124002.95735925395</v>
      </c>
      <c r="M188" s="55">
        <f>$J$188-EFEITO!$K$188*EFEITO!$Y$188</f>
        <v>0</v>
      </c>
      <c r="N188" s="55">
        <f ca="1">$K$188-EFEITO!$M$188*EFEITO!$Z$188</f>
        <v>1339.498263369489</v>
      </c>
      <c r="O188" s="55">
        <f>$L$188-EFEITO!$O$188*EFEITO!$AA$188</f>
        <v>2480.0591471850639</v>
      </c>
      <c r="P188" s="39"/>
      <c r="Q188" s="39"/>
      <c r="R188" s="39"/>
      <c r="S188" s="39"/>
      <c r="T188" s="39"/>
      <c r="U188" s="39"/>
      <c r="V188" s="39"/>
      <c r="W188" s="3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5" t="s">
        <v>21</v>
      </c>
      <c r="B189" s="35" t="s">
        <v>35</v>
      </c>
      <c r="C189" s="35" t="s">
        <v>36</v>
      </c>
      <c r="D189" s="35" t="s">
        <v>41</v>
      </c>
      <c r="E189" s="35" t="s">
        <v>50</v>
      </c>
      <c r="F189" s="35" t="s">
        <v>25</v>
      </c>
      <c r="G189" s="35" t="s">
        <v>25</v>
      </c>
      <c r="H189" s="35" t="s">
        <v>25</v>
      </c>
      <c r="I189" s="54">
        <v>44440</v>
      </c>
      <c r="J189" s="55">
        <f ca="1">EFEITO!$J$189*EFEITO!$Y$152</f>
        <v>104169.55262822349</v>
      </c>
      <c r="K189" s="55">
        <f>EFEITO!$L$189*EFEITO!$Z$152</f>
        <v>0</v>
      </c>
      <c r="L189" s="55">
        <f>EFEITO!$N$189*EFEITO!$AA$152</f>
        <v>0</v>
      </c>
      <c r="M189" s="55">
        <f ca="1">$J$189-EFEITO!$K$189*EFEITO!$Y$189</f>
        <v>2083.3910525644751</v>
      </c>
      <c r="N189" s="55">
        <f>$K$189-EFEITO!$M$189*EFEITO!$Z$189</f>
        <v>0</v>
      </c>
      <c r="O189" s="55">
        <f>$L$189-EFEITO!$O$189*EFEITO!$AA$189</f>
        <v>0</v>
      </c>
      <c r="P189" s="39"/>
      <c r="Q189" s="39"/>
      <c r="R189" s="39"/>
      <c r="S189" s="39"/>
      <c r="T189" s="39"/>
      <c r="U189" s="39"/>
      <c r="V189" s="39"/>
      <c r="W189" s="3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5" t="s">
        <v>21</v>
      </c>
      <c r="B190" s="35" t="s">
        <v>35</v>
      </c>
      <c r="C190" s="35" t="s">
        <v>36</v>
      </c>
      <c r="D190" s="35" t="s">
        <v>41</v>
      </c>
      <c r="E190" s="35" t="s">
        <v>50</v>
      </c>
      <c r="F190" s="35" t="s">
        <v>25</v>
      </c>
      <c r="G190" s="35" t="s">
        <v>25</v>
      </c>
      <c r="H190" s="35" t="s">
        <v>25</v>
      </c>
      <c r="I190" s="54">
        <v>44470</v>
      </c>
      <c r="J190" s="55">
        <f ca="1">EFEITO!$J$190*EFEITO!$Y$152</f>
        <v>124835.22161530309</v>
      </c>
      <c r="K190" s="55">
        <f>EFEITO!$L$190*EFEITO!$Z$152</f>
        <v>0</v>
      </c>
      <c r="L190" s="55">
        <f>EFEITO!$N$190*EFEITO!$AA$152</f>
        <v>0</v>
      </c>
      <c r="M190" s="55">
        <f ca="1">$J$190-EFEITO!$K$190*EFEITO!$Y$190</f>
        <v>2496.7044323060545</v>
      </c>
      <c r="N190" s="55">
        <f>$K$190-EFEITO!$M$190*EFEITO!$Z$190</f>
        <v>0</v>
      </c>
      <c r="O190" s="55">
        <f>$L$190-EFEITO!$O$190*EFEITO!$AA$190</f>
        <v>0</v>
      </c>
      <c r="P190" s="39"/>
      <c r="Q190" s="39"/>
      <c r="R190" s="39"/>
      <c r="S190" s="39"/>
      <c r="T190" s="39"/>
      <c r="U190" s="39"/>
      <c r="V190" s="39"/>
      <c r="W190" s="3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5" t="s">
        <v>21</v>
      </c>
      <c r="B191" s="35" t="s">
        <v>35</v>
      </c>
      <c r="C191" s="35" t="s">
        <v>36</v>
      </c>
      <c r="D191" s="35" t="s">
        <v>41</v>
      </c>
      <c r="E191" s="35" t="s">
        <v>50</v>
      </c>
      <c r="F191" s="35" t="s">
        <v>25</v>
      </c>
      <c r="G191" s="35" t="s">
        <v>25</v>
      </c>
      <c r="H191" s="35" t="s">
        <v>25</v>
      </c>
      <c r="I191" s="54">
        <v>44501</v>
      </c>
      <c r="J191" s="55">
        <f ca="1">EFEITO!$J$191*EFEITO!$Y$152</f>
        <v>67605.05824674209</v>
      </c>
      <c r="K191" s="55">
        <f>EFEITO!$L$191*EFEITO!$Z$152</f>
        <v>0</v>
      </c>
      <c r="L191" s="55">
        <f>EFEITO!$N$191*EFEITO!$AA$152</f>
        <v>0</v>
      </c>
      <c r="M191" s="55">
        <f ca="1">$J$191-EFEITO!$K$191*EFEITO!$Y$191</f>
        <v>1352.1011649348511</v>
      </c>
      <c r="N191" s="55">
        <f>$K$191-EFEITO!$M$191*EFEITO!$Z$191</f>
        <v>0</v>
      </c>
      <c r="O191" s="55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5" t="s">
        <v>21</v>
      </c>
      <c r="B192" s="35" t="s">
        <v>35</v>
      </c>
      <c r="C192" s="35" t="s">
        <v>36</v>
      </c>
      <c r="D192" s="35" t="s">
        <v>41</v>
      </c>
      <c r="E192" s="35" t="s">
        <v>50</v>
      </c>
      <c r="F192" s="35" t="s">
        <v>25</v>
      </c>
      <c r="G192" s="35" t="s">
        <v>25</v>
      </c>
      <c r="H192" s="35" t="s">
        <v>25</v>
      </c>
      <c r="I192" s="54">
        <v>44531</v>
      </c>
      <c r="J192" s="55">
        <f ca="1">EFEITO!$J$192*EFEITO!$Y$152</f>
        <v>48958.287722443667</v>
      </c>
      <c r="K192" s="55">
        <f>EFEITO!$L$192*EFEITO!$Z$152</f>
        <v>0</v>
      </c>
      <c r="L192" s="55">
        <f>EFEITO!$N$192*EFEITO!$AA$152</f>
        <v>0</v>
      </c>
      <c r="M192" s="55">
        <f ca="1">$J$192-EFEITO!$K$192*EFEITO!$Y$192</f>
        <v>979.16575444887712</v>
      </c>
      <c r="N192" s="55">
        <f>$K$192-EFEITO!$M$192*EFEITO!$Z$192</f>
        <v>0</v>
      </c>
      <c r="O192" s="55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5" t="s">
        <v>21</v>
      </c>
      <c r="B193" s="35" t="s">
        <v>35</v>
      </c>
      <c r="C193" s="35" t="s">
        <v>36</v>
      </c>
      <c r="D193" s="35" t="s">
        <v>41</v>
      </c>
      <c r="E193" s="35" t="s">
        <v>50</v>
      </c>
      <c r="F193" s="35" t="s">
        <v>25</v>
      </c>
      <c r="G193" s="35" t="s">
        <v>25</v>
      </c>
      <c r="H193" s="35" t="s">
        <v>25</v>
      </c>
      <c r="I193" s="54">
        <v>44562</v>
      </c>
      <c r="J193" s="55">
        <f ca="1">EFEITO!$J$193*EFEITO!$Y$152</f>
        <v>45901.899771844379</v>
      </c>
      <c r="K193" s="55">
        <f>EFEITO!$L$193*EFEITO!$Z$152</f>
        <v>0</v>
      </c>
      <c r="L193" s="55">
        <f>EFEITO!$N$193*EFEITO!$AA$152</f>
        <v>0</v>
      </c>
      <c r="M193" s="55">
        <f ca="1">$J$193-EFEITO!$K$193*EFEITO!$Y$193</f>
        <v>918.03799543689092</v>
      </c>
      <c r="N193" s="55">
        <f>$K$193-EFEITO!$M$193*EFEITO!$Z$193</f>
        <v>0</v>
      </c>
      <c r="O193" s="55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5" t="s">
        <v>21</v>
      </c>
      <c r="B194" s="35" t="s">
        <v>35</v>
      </c>
      <c r="C194" s="35" t="s">
        <v>36</v>
      </c>
      <c r="D194" s="35" t="s">
        <v>41</v>
      </c>
      <c r="E194" s="35" t="s">
        <v>50</v>
      </c>
      <c r="F194" s="35" t="s">
        <v>25</v>
      </c>
      <c r="G194" s="35" t="s">
        <v>25</v>
      </c>
      <c r="H194" s="35" t="s">
        <v>25</v>
      </c>
      <c r="I194" s="54">
        <v>44593</v>
      </c>
      <c r="J194" s="55">
        <f ca="1">EFEITO!$J$194*EFEITO!$Y$152</f>
        <v>55687.94926504761</v>
      </c>
      <c r="K194" s="55">
        <f>EFEITO!$L$194*EFEITO!$Z$152</f>
        <v>0</v>
      </c>
      <c r="L194" s="55">
        <f>EFEITO!$N$194*EFEITO!$AA$152</f>
        <v>0</v>
      </c>
      <c r="M194" s="55">
        <f ca="1">$J$194-EFEITO!$K$194*EFEITO!$Y$194</f>
        <v>1113.7589853009558</v>
      </c>
      <c r="N194" s="55">
        <f>$K$194-EFEITO!$M$194*EFEITO!$Z$194</f>
        <v>0</v>
      </c>
      <c r="O194" s="55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5" t="s">
        <v>21</v>
      </c>
      <c r="B195" s="35" t="s">
        <v>35</v>
      </c>
      <c r="C195" s="35" t="s">
        <v>36</v>
      </c>
      <c r="D195" s="35" t="s">
        <v>41</v>
      </c>
      <c r="E195" s="35" t="s">
        <v>50</v>
      </c>
      <c r="F195" s="35" t="s">
        <v>25</v>
      </c>
      <c r="G195" s="35" t="s">
        <v>25</v>
      </c>
      <c r="H195" s="35" t="s">
        <v>25</v>
      </c>
      <c r="I195" s="54">
        <v>44621</v>
      </c>
      <c r="J195" s="55">
        <f ca="1">EFEITO!$J$195*EFEITO!$Y$152</f>
        <v>44163.403873338357</v>
      </c>
      <c r="K195" s="55">
        <f>EFEITO!$L$195*EFEITO!$Z$152</f>
        <v>0</v>
      </c>
      <c r="L195" s="55">
        <f>EFEITO!$N$195*EFEITO!$AA$152</f>
        <v>0</v>
      </c>
      <c r="M195" s="55">
        <f ca="1">$J$195-EFEITO!$K$195*EFEITO!$Y$195</f>
        <v>883.26807746676786</v>
      </c>
      <c r="N195" s="55">
        <f>$K$195-EFEITO!$M$195*EFEITO!$Z$195</f>
        <v>0</v>
      </c>
      <c r="O195" s="55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5" t="s">
        <v>21</v>
      </c>
      <c r="B196" s="35" t="s">
        <v>35</v>
      </c>
      <c r="C196" s="35" t="s">
        <v>36</v>
      </c>
      <c r="D196" s="35" t="s">
        <v>41</v>
      </c>
      <c r="E196" s="35" t="s">
        <v>50</v>
      </c>
      <c r="F196" s="35" t="s">
        <v>25</v>
      </c>
      <c r="G196" s="35" t="s">
        <v>25</v>
      </c>
      <c r="H196" s="35" t="s">
        <v>25</v>
      </c>
      <c r="I196" s="54">
        <v>44652</v>
      </c>
      <c r="J196" s="55">
        <f ca="1">EFEITO!$J$196*EFEITO!$Y$152</f>
        <v>74054.317225070859</v>
      </c>
      <c r="K196" s="55">
        <f>EFEITO!$L$196*EFEITO!$Z$152</f>
        <v>0</v>
      </c>
      <c r="L196" s="55">
        <f>EFEITO!$N$196*EFEITO!$AA$152</f>
        <v>0</v>
      </c>
      <c r="M196" s="55">
        <f ca="1">$J$196-EFEITO!$K$196*EFEITO!$Y$196</f>
        <v>1481.0863445014111</v>
      </c>
      <c r="N196" s="55">
        <f>$K$196-EFEITO!$M$196*EFEITO!$Z$196</f>
        <v>0</v>
      </c>
      <c r="O196" s="55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5" t="s">
        <v>21</v>
      </c>
      <c r="B197" s="35" t="s">
        <v>35</v>
      </c>
      <c r="C197" s="35" t="s">
        <v>36</v>
      </c>
      <c r="D197" s="35" t="s">
        <v>41</v>
      </c>
      <c r="E197" s="35" t="s">
        <v>50</v>
      </c>
      <c r="F197" s="35" t="s">
        <v>25</v>
      </c>
      <c r="G197" s="35" t="s">
        <v>25</v>
      </c>
      <c r="H197" s="35" t="s">
        <v>25</v>
      </c>
      <c r="I197" s="54">
        <v>44682</v>
      </c>
      <c r="J197" s="55">
        <f ca="1">EFEITO!$J$197*EFEITO!$Y$152</f>
        <v>105795.88750101945</v>
      </c>
      <c r="K197" s="55">
        <f>EFEITO!$L$197*EFEITO!$Z$152</f>
        <v>0</v>
      </c>
      <c r="L197" s="55">
        <f>EFEITO!$N$197*EFEITO!$AA$152</f>
        <v>0</v>
      </c>
      <c r="M197" s="55">
        <f ca="1">$J$197-EFEITO!$K$197*EFEITO!$Y$197</f>
        <v>2115.917750020395</v>
      </c>
      <c r="N197" s="55">
        <f>$K$197-EFEITO!$M$197*EFEITO!$Z$197</f>
        <v>0</v>
      </c>
      <c r="O197" s="55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5" t="s">
        <v>21</v>
      </c>
      <c r="B198" s="35" t="s">
        <v>35</v>
      </c>
      <c r="C198" s="35" t="s">
        <v>36</v>
      </c>
      <c r="D198" s="35" t="s">
        <v>41</v>
      </c>
      <c r="E198" s="35" t="s">
        <v>50</v>
      </c>
      <c r="F198" s="35" t="s">
        <v>25</v>
      </c>
      <c r="G198" s="35" t="s">
        <v>25</v>
      </c>
      <c r="H198" s="35" t="s">
        <v>25</v>
      </c>
      <c r="I198" s="54">
        <v>44713</v>
      </c>
      <c r="J198" s="55">
        <f ca="1">EFEITO!$J$198*EFEITO!$Y$152</f>
        <v>88158.566208111617</v>
      </c>
      <c r="K198" s="55">
        <f>EFEITO!$L$198*EFEITO!$Z$152</f>
        <v>0</v>
      </c>
      <c r="L198" s="55">
        <f>EFEITO!$N$198*EFEITO!$AA$152</f>
        <v>0</v>
      </c>
      <c r="M198" s="55">
        <f ca="1">$J$198-EFEITO!$K$198*EFEITO!$Y$198</f>
        <v>1763.1713241622347</v>
      </c>
      <c r="N198" s="55">
        <f>$K$198-EFEITO!$M$198*EFEITO!$Z$198</f>
        <v>0</v>
      </c>
      <c r="O198" s="55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5" t="s">
        <v>21</v>
      </c>
      <c r="B199" s="35" t="s">
        <v>35</v>
      </c>
      <c r="C199" s="35" t="s">
        <v>36</v>
      </c>
      <c r="D199" s="35" t="s">
        <v>41</v>
      </c>
      <c r="E199" s="35" t="s">
        <v>50</v>
      </c>
      <c r="F199" s="35" t="s">
        <v>25</v>
      </c>
      <c r="G199" s="35" t="s">
        <v>25</v>
      </c>
      <c r="H199" s="35" t="s">
        <v>25</v>
      </c>
      <c r="I199" s="54">
        <v>44743</v>
      </c>
      <c r="J199" s="55">
        <f ca="1">EFEITO!$J$199*EFEITO!$Y$152</f>
        <v>88242.686977394173</v>
      </c>
      <c r="K199" s="55">
        <f>EFEITO!$L$199*EFEITO!$Z$152</f>
        <v>0</v>
      </c>
      <c r="L199" s="55">
        <f>EFEITO!$N$199*EFEITO!$AA$152</f>
        <v>0</v>
      </c>
      <c r="M199" s="55">
        <f ca="1">$J$199-EFEITO!$K$199*EFEITO!$Y$199</f>
        <v>1764.8537395478925</v>
      </c>
      <c r="N199" s="55">
        <f>$K$199-EFEITO!$M$199*EFEITO!$Z$199</f>
        <v>0</v>
      </c>
      <c r="O199" s="55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5" t="s">
        <v>21</v>
      </c>
      <c r="B200" s="35" t="s">
        <v>35</v>
      </c>
      <c r="C200" s="35" t="s">
        <v>36</v>
      </c>
      <c r="D200" s="35" t="s">
        <v>41</v>
      </c>
      <c r="E200" s="35" t="s">
        <v>50</v>
      </c>
      <c r="F200" s="35" t="s">
        <v>25</v>
      </c>
      <c r="G200" s="35" t="s">
        <v>25</v>
      </c>
      <c r="H200" s="35" t="s">
        <v>25</v>
      </c>
      <c r="I200" s="54">
        <v>44774</v>
      </c>
      <c r="J200" s="55">
        <f ca="1">EFEITO!$J$200*EFEITO!$Y$152</f>
        <v>111460.01929937776</v>
      </c>
      <c r="K200" s="55">
        <f>EFEITO!$L$200*EFEITO!$Z$152</f>
        <v>0</v>
      </c>
      <c r="L200" s="55">
        <f>EFEITO!$N$200*EFEITO!$AA$152</f>
        <v>0</v>
      </c>
      <c r="M200" s="55">
        <f ca="1">$J$200-EFEITO!$K$200*EFEITO!$Y$200</f>
        <v>2229.2003859875549</v>
      </c>
      <c r="N200" s="55">
        <f>$K$200-EFEITO!$M$200*EFEITO!$Z$200</f>
        <v>0</v>
      </c>
      <c r="O200" s="55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5" t="s">
        <v>21</v>
      </c>
      <c r="B201" s="35" t="s">
        <v>35</v>
      </c>
      <c r="C201" s="35" t="s">
        <v>36</v>
      </c>
      <c r="D201" s="35" t="s">
        <v>41</v>
      </c>
      <c r="E201" s="35" t="s">
        <v>50</v>
      </c>
      <c r="F201" s="35" t="s">
        <v>25</v>
      </c>
      <c r="G201" s="35" t="s">
        <v>25</v>
      </c>
      <c r="H201" s="35" t="s">
        <v>37</v>
      </c>
      <c r="I201" s="54">
        <v>44440</v>
      </c>
      <c r="J201" s="55">
        <f>EFEITO!$J$201*EFEITO!$Y$164</f>
        <v>0</v>
      </c>
      <c r="K201" s="55">
        <f ca="1">EFEITO!$L$201*EFEITO!$Z$164</f>
        <v>25596.595012143956</v>
      </c>
      <c r="L201" s="55">
        <f>EFEITO!$N$201*EFEITO!$AA$164</f>
        <v>2150.3252958741382</v>
      </c>
      <c r="M201" s="55">
        <f>$J$201-EFEITO!$K$201*EFEITO!$Y$201</f>
        <v>0</v>
      </c>
      <c r="N201" s="55">
        <f ca="1">$K$201-EFEITO!$M$201*EFEITO!$Z$201</f>
        <v>511.93190024287833</v>
      </c>
      <c r="O201" s="55">
        <f>$L$201-EFEITO!$O$201*EFEITO!$AA$201</f>
        <v>43.006505917482627</v>
      </c>
      <c r="P201" s="39"/>
      <c r="Q201" s="39"/>
      <c r="R201" s="39"/>
      <c r="S201" s="39"/>
      <c r="T201" s="39"/>
      <c r="U201" s="39"/>
      <c r="V201" s="39"/>
      <c r="W201" s="3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5" t="s">
        <v>21</v>
      </c>
      <c r="B202" s="35" t="s">
        <v>35</v>
      </c>
      <c r="C202" s="35" t="s">
        <v>36</v>
      </c>
      <c r="D202" s="35" t="s">
        <v>41</v>
      </c>
      <c r="E202" s="35" t="s">
        <v>50</v>
      </c>
      <c r="F202" s="35" t="s">
        <v>25</v>
      </c>
      <c r="G202" s="35" t="s">
        <v>25</v>
      </c>
      <c r="H202" s="35" t="s">
        <v>37</v>
      </c>
      <c r="I202" s="54">
        <v>44470</v>
      </c>
      <c r="J202" s="55">
        <f>EFEITO!$J$202*EFEITO!$Y$164</f>
        <v>0</v>
      </c>
      <c r="K202" s="55">
        <f ca="1">EFEITO!$L$202*EFEITO!$Z$164</f>
        <v>35120.550127898139</v>
      </c>
      <c r="L202" s="55">
        <f>EFEITO!$N$202*EFEITO!$AA$164</f>
        <v>2950.4161514140978</v>
      </c>
      <c r="M202" s="55">
        <f>$J$202-EFEITO!$K$202*EFEITO!$Y$202</f>
        <v>0</v>
      </c>
      <c r="N202" s="55">
        <f ca="1">$K$202-EFEITO!$M$202*EFEITO!$Z$202</f>
        <v>702.41100255796482</v>
      </c>
      <c r="O202" s="55">
        <f>$L$202-EFEITO!$O$202*EFEITO!$AA$202</f>
        <v>59.008323028281666</v>
      </c>
      <c r="P202" s="39"/>
      <c r="Q202" s="39"/>
      <c r="R202" s="39"/>
      <c r="S202" s="39"/>
      <c r="T202" s="39"/>
      <c r="U202" s="39"/>
      <c r="V202" s="39"/>
      <c r="W202" s="3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5" t="s">
        <v>21</v>
      </c>
      <c r="B203" s="35" t="s">
        <v>35</v>
      </c>
      <c r="C203" s="35" t="s">
        <v>36</v>
      </c>
      <c r="D203" s="35" t="s">
        <v>41</v>
      </c>
      <c r="E203" s="35" t="s">
        <v>50</v>
      </c>
      <c r="F203" s="35" t="s">
        <v>25</v>
      </c>
      <c r="G203" s="35" t="s">
        <v>25</v>
      </c>
      <c r="H203" s="35" t="s">
        <v>37</v>
      </c>
      <c r="I203" s="54">
        <v>44501</v>
      </c>
      <c r="J203" s="55">
        <f>EFEITO!$J$203*EFEITO!$Y$164</f>
        <v>0</v>
      </c>
      <c r="K203" s="55">
        <f ca="1">EFEITO!$L$203*EFEITO!$Z$164</f>
        <v>18809.535456884609</v>
      </c>
      <c r="L203" s="55">
        <f>EFEITO!$N$203*EFEITO!$AA$164</f>
        <v>1580.1562620884201</v>
      </c>
      <c r="M203" s="55">
        <f>$J$203-EFEITO!$K$203*EFEITO!$Y$203</f>
        <v>0</v>
      </c>
      <c r="N203" s="55">
        <f ca="1">$K$203-EFEITO!$M$203*EFEITO!$Z$203</f>
        <v>376.19070913769247</v>
      </c>
      <c r="O203" s="55">
        <f>$L$203-EFEITO!$O$203*EFEITO!$AA$203</f>
        <v>31.603125241768339</v>
      </c>
      <c r="P203" s="39"/>
      <c r="Q203" s="39"/>
      <c r="R203" s="39"/>
      <c r="S203" s="39"/>
      <c r="T203" s="39"/>
      <c r="U203" s="39"/>
      <c r="V203" s="39"/>
      <c r="W203" s="3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5" t="s">
        <v>21</v>
      </c>
      <c r="B204" s="35" t="s">
        <v>35</v>
      </c>
      <c r="C204" s="35" t="s">
        <v>36</v>
      </c>
      <c r="D204" s="35" t="s">
        <v>41</v>
      </c>
      <c r="E204" s="35" t="s">
        <v>50</v>
      </c>
      <c r="F204" s="35" t="s">
        <v>25</v>
      </c>
      <c r="G204" s="35" t="s">
        <v>25</v>
      </c>
      <c r="H204" s="35" t="s">
        <v>37</v>
      </c>
      <c r="I204" s="54">
        <v>44531</v>
      </c>
      <c r="J204" s="55">
        <f>EFEITO!$J$204*EFEITO!$Y$164</f>
        <v>0</v>
      </c>
      <c r="K204" s="55">
        <f ca="1">EFEITO!$L$204*EFEITO!$Z$164</f>
        <v>8563.8344957418776</v>
      </c>
      <c r="L204" s="55">
        <f>EFEITO!$N$204*EFEITO!$AA$164</f>
        <v>719.43279710197953</v>
      </c>
      <c r="M204" s="55">
        <f>$J$204-EFEITO!$K$204*EFEITO!$Y$204</f>
        <v>0</v>
      </c>
      <c r="N204" s="55">
        <f ca="1">$K$204-EFEITO!$M$204*EFEITO!$Z$204</f>
        <v>171.27668991483733</v>
      </c>
      <c r="O204" s="55">
        <f>$L$204-EFEITO!$O$204*EFEITO!$AA$204</f>
        <v>14.388655942039577</v>
      </c>
      <c r="P204" s="39"/>
      <c r="Q204" s="39"/>
      <c r="R204" s="39"/>
      <c r="S204" s="39"/>
      <c r="T204" s="39"/>
      <c r="U204" s="39"/>
      <c r="V204" s="39"/>
      <c r="W204" s="3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5" t="s">
        <v>21</v>
      </c>
      <c r="B205" s="35" t="s">
        <v>35</v>
      </c>
      <c r="C205" s="35" t="s">
        <v>36</v>
      </c>
      <c r="D205" s="35" t="s">
        <v>41</v>
      </c>
      <c r="E205" s="35" t="s">
        <v>50</v>
      </c>
      <c r="F205" s="35" t="s">
        <v>25</v>
      </c>
      <c r="G205" s="35" t="s">
        <v>25</v>
      </c>
      <c r="H205" s="35" t="s">
        <v>37</v>
      </c>
      <c r="I205" s="54">
        <v>44562</v>
      </c>
      <c r="J205" s="55">
        <f>EFEITO!$J$205*EFEITO!$Y$164</f>
        <v>0</v>
      </c>
      <c r="K205" s="55">
        <f ca="1">EFEITO!$L$205*EFEITO!$Z$164</f>
        <v>10806.32311627635</v>
      </c>
      <c r="L205" s="55">
        <f>EFEITO!$N$205*EFEITO!$AA$164</f>
        <v>907.82035428126085</v>
      </c>
      <c r="M205" s="55">
        <f>$J$205-EFEITO!$K$205*EFEITO!$Y$205</f>
        <v>0</v>
      </c>
      <c r="N205" s="55">
        <f ca="1">$K$205-EFEITO!$M$205*EFEITO!$Z$205</f>
        <v>216.12646232552834</v>
      </c>
      <c r="O205" s="55">
        <f>$L$205-EFEITO!$O$205*EFEITO!$AA$205</f>
        <v>18.156407085625233</v>
      </c>
      <c r="P205" s="39"/>
      <c r="Q205" s="39"/>
      <c r="R205" s="39"/>
      <c r="S205" s="39"/>
      <c r="T205" s="39"/>
      <c r="U205" s="39"/>
      <c r="V205" s="39"/>
      <c r="W205" s="3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5" t="s">
        <v>21</v>
      </c>
      <c r="B206" s="35" t="s">
        <v>35</v>
      </c>
      <c r="C206" s="35" t="s">
        <v>36</v>
      </c>
      <c r="D206" s="35" t="s">
        <v>41</v>
      </c>
      <c r="E206" s="35" t="s">
        <v>50</v>
      </c>
      <c r="F206" s="35" t="s">
        <v>25</v>
      </c>
      <c r="G206" s="35" t="s">
        <v>25</v>
      </c>
      <c r="H206" s="35" t="s">
        <v>37</v>
      </c>
      <c r="I206" s="54">
        <v>44593</v>
      </c>
      <c r="J206" s="55">
        <f>EFEITO!$J$206*EFEITO!$Y$164</f>
        <v>0</v>
      </c>
      <c r="K206" s="55">
        <f ca="1">EFEITO!$L$206*EFEITO!$Z$164</f>
        <v>11049.112238578311</v>
      </c>
      <c r="L206" s="55">
        <f>EFEITO!$N$206*EFEITO!$AA$164</f>
        <v>928.21664492075001</v>
      </c>
      <c r="M206" s="55">
        <f>$J$206-EFEITO!$K$206*EFEITO!$Y$206</f>
        <v>0</v>
      </c>
      <c r="N206" s="55">
        <f ca="1">$K$206-EFEITO!$M$206*EFEITO!$Z$206</f>
        <v>220.98224477156691</v>
      </c>
      <c r="O206" s="55">
        <f>$L$206-EFEITO!$O$206*EFEITO!$AA$206</f>
        <v>18.564332898414932</v>
      </c>
      <c r="P206" s="39"/>
      <c r="Q206" s="39"/>
      <c r="R206" s="39"/>
      <c r="S206" s="39"/>
      <c r="T206" s="39"/>
      <c r="U206" s="39"/>
      <c r="V206" s="39"/>
      <c r="W206" s="3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5" t="s">
        <v>21</v>
      </c>
      <c r="B207" s="35" t="s">
        <v>35</v>
      </c>
      <c r="C207" s="35" t="s">
        <v>36</v>
      </c>
      <c r="D207" s="35" t="s">
        <v>41</v>
      </c>
      <c r="E207" s="35" t="s">
        <v>50</v>
      </c>
      <c r="F207" s="35" t="s">
        <v>25</v>
      </c>
      <c r="G207" s="35" t="s">
        <v>25</v>
      </c>
      <c r="H207" s="35" t="s">
        <v>37</v>
      </c>
      <c r="I207" s="54">
        <v>44621</v>
      </c>
      <c r="J207" s="55">
        <f>EFEITO!$J$207*EFEITO!$Y$164</f>
        <v>0</v>
      </c>
      <c r="K207" s="55">
        <f ca="1">EFEITO!$L$207*EFEITO!$Z$164</f>
        <v>8603.5636248458359</v>
      </c>
      <c r="L207" s="55">
        <f>EFEITO!$N$207*EFEITO!$AA$164</f>
        <v>722.77037193389606</v>
      </c>
      <c r="M207" s="55">
        <f>$J$207-EFEITO!$K$207*EFEITO!$Y$207</f>
        <v>0</v>
      </c>
      <c r="N207" s="55">
        <f ca="1">$K$207-EFEITO!$M$207*EFEITO!$Z$207</f>
        <v>172.07127249691803</v>
      </c>
      <c r="O207" s="55">
        <f>$L$207-EFEITO!$O$207*EFEITO!$AA$207</f>
        <v>14.45540743867798</v>
      </c>
      <c r="P207" s="39"/>
      <c r="Q207" s="39"/>
      <c r="R207" s="39"/>
      <c r="S207" s="39"/>
      <c r="T207" s="39"/>
      <c r="U207" s="39"/>
      <c r="V207" s="39"/>
      <c r="W207" s="3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5" t="s">
        <v>21</v>
      </c>
      <c r="B208" s="35" t="s">
        <v>35</v>
      </c>
      <c r="C208" s="35" t="s">
        <v>36</v>
      </c>
      <c r="D208" s="35" t="s">
        <v>41</v>
      </c>
      <c r="E208" s="35" t="s">
        <v>50</v>
      </c>
      <c r="F208" s="35" t="s">
        <v>25</v>
      </c>
      <c r="G208" s="35" t="s">
        <v>25</v>
      </c>
      <c r="H208" s="35" t="s">
        <v>37</v>
      </c>
      <c r="I208" s="54">
        <v>44652</v>
      </c>
      <c r="J208" s="55">
        <f>EFEITO!$J$208*EFEITO!$Y$164</f>
        <v>0</v>
      </c>
      <c r="K208" s="55">
        <f ca="1">EFEITO!$L$208*EFEITO!$Z$164</f>
        <v>10528.219212548649</v>
      </c>
      <c r="L208" s="55">
        <f>EFEITO!$N$208*EFEITO!$AA$164</f>
        <v>884.45733045784596</v>
      </c>
      <c r="M208" s="55">
        <f>$J$208-EFEITO!$K$208*EFEITO!$Y$208</f>
        <v>0</v>
      </c>
      <c r="N208" s="55">
        <f ca="1">$K$208-EFEITO!$M$208*EFEITO!$Z$208</f>
        <v>210.5643842509744</v>
      </c>
      <c r="O208" s="55">
        <f>$L$208-EFEITO!$O$208*EFEITO!$AA$208</f>
        <v>17.689146609156865</v>
      </c>
      <c r="P208" s="39"/>
      <c r="Q208" s="39"/>
      <c r="R208" s="39"/>
      <c r="S208" s="39"/>
      <c r="T208" s="39"/>
      <c r="U208" s="39"/>
      <c r="V208" s="39"/>
      <c r="W208" s="3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5" t="s">
        <v>21</v>
      </c>
      <c r="B209" s="35" t="s">
        <v>35</v>
      </c>
      <c r="C209" s="35" t="s">
        <v>36</v>
      </c>
      <c r="D209" s="35" t="s">
        <v>41</v>
      </c>
      <c r="E209" s="35" t="s">
        <v>50</v>
      </c>
      <c r="F209" s="35" t="s">
        <v>25</v>
      </c>
      <c r="G209" s="35" t="s">
        <v>25</v>
      </c>
      <c r="H209" s="35" t="s">
        <v>37</v>
      </c>
      <c r="I209" s="54">
        <v>44682</v>
      </c>
      <c r="J209" s="55">
        <f>EFEITO!$J$209*EFEITO!$Y$164</f>
        <v>0</v>
      </c>
      <c r="K209" s="55">
        <f ca="1">EFEITO!$L$209*EFEITO!$Z$164</f>
        <v>10503.940300318454</v>
      </c>
      <c r="L209" s="55">
        <f>EFEITO!$N$209*EFEITO!$AA$164</f>
        <v>882.41770139389723</v>
      </c>
      <c r="M209" s="55">
        <f>$J$209-EFEITO!$K$209*EFEITO!$Y$209</f>
        <v>0</v>
      </c>
      <c r="N209" s="55">
        <f ca="1">$K$209-EFEITO!$M$209*EFEITO!$Z$209</f>
        <v>210.07880600636963</v>
      </c>
      <c r="O209" s="55">
        <f>$L$209-EFEITO!$O$209*EFEITO!$AA$209</f>
        <v>17.648354027877986</v>
      </c>
      <c r="P209" s="39"/>
      <c r="Q209" s="39"/>
      <c r="R209" s="39"/>
      <c r="S209" s="39"/>
      <c r="T209" s="39"/>
      <c r="U209" s="39"/>
      <c r="V209" s="39"/>
      <c r="W209" s="3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5" t="s">
        <v>21</v>
      </c>
      <c r="B210" s="35" t="s">
        <v>35</v>
      </c>
      <c r="C210" s="35" t="s">
        <v>36</v>
      </c>
      <c r="D210" s="35" t="s">
        <v>41</v>
      </c>
      <c r="E210" s="35" t="s">
        <v>50</v>
      </c>
      <c r="F210" s="35" t="s">
        <v>25</v>
      </c>
      <c r="G210" s="35" t="s">
        <v>25</v>
      </c>
      <c r="H210" s="35" t="s">
        <v>37</v>
      </c>
      <c r="I210" s="54">
        <v>44713</v>
      </c>
      <c r="J210" s="55">
        <f>EFEITO!$J$210*EFEITO!$Y$164</f>
        <v>0</v>
      </c>
      <c r="K210" s="55">
        <f ca="1">EFEITO!$L$210*EFEITO!$Z$164</f>
        <v>10656.235295216957</v>
      </c>
      <c r="L210" s="55">
        <f>EFEITO!$N$210*EFEITO!$AA$164</f>
        <v>895.21173824957668</v>
      </c>
      <c r="M210" s="55">
        <f>$J$210-EFEITO!$K$210*EFEITO!$Y$210</f>
        <v>0</v>
      </c>
      <c r="N210" s="55">
        <f ca="1">$K$210-EFEITO!$M$210*EFEITO!$Z$210</f>
        <v>213.12470590433986</v>
      </c>
      <c r="O210" s="55">
        <f>$L$210-EFEITO!$O$210*EFEITO!$AA$210</f>
        <v>17.904234764991429</v>
      </c>
      <c r="P210" s="39"/>
      <c r="Q210" s="39"/>
      <c r="R210" s="39"/>
      <c r="S210" s="39"/>
      <c r="T210" s="39"/>
      <c r="U210" s="39"/>
      <c r="V210" s="39"/>
      <c r="W210" s="3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5" t="s">
        <v>21</v>
      </c>
      <c r="B211" s="35" t="s">
        <v>35</v>
      </c>
      <c r="C211" s="35" t="s">
        <v>36</v>
      </c>
      <c r="D211" s="35" t="s">
        <v>41</v>
      </c>
      <c r="E211" s="35" t="s">
        <v>50</v>
      </c>
      <c r="F211" s="35" t="s">
        <v>25</v>
      </c>
      <c r="G211" s="35" t="s">
        <v>25</v>
      </c>
      <c r="H211" s="35" t="s">
        <v>37</v>
      </c>
      <c r="I211" s="54">
        <v>44743</v>
      </c>
      <c r="J211" s="55">
        <f>EFEITO!$J$211*EFEITO!$Y$164</f>
        <v>0</v>
      </c>
      <c r="K211" s="55">
        <f ca="1">EFEITO!$L$211*EFEITO!$Z$164</f>
        <v>14163.43452556073</v>
      </c>
      <c r="L211" s="55">
        <f>EFEITO!$N$211*EFEITO!$AA$164</f>
        <v>1189.8454275781967</v>
      </c>
      <c r="M211" s="55">
        <f>$J$211-EFEITO!$K$211*EFEITO!$Y$211</f>
        <v>0</v>
      </c>
      <c r="N211" s="55">
        <f ca="1">$K$211-EFEITO!$M$211*EFEITO!$Z$211</f>
        <v>283.26869051121503</v>
      </c>
      <c r="O211" s="55">
        <f>$L$211-EFEITO!$O$211*EFEITO!$AA$211</f>
        <v>23.796908551564002</v>
      </c>
      <c r="P211" s="39"/>
      <c r="Q211" s="39"/>
      <c r="R211" s="39"/>
      <c r="S211" s="39"/>
      <c r="T211" s="39"/>
      <c r="U211" s="39"/>
      <c r="V211" s="39"/>
      <c r="W211" s="3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5" t="s">
        <v>21</v>
      </c>
      <c r="B212" s="35" t="s">
        <v>35</v>
      </c>
      <c r="C212" s="35" t="s">
        <v>36</v>
      </c>
      <c r="D212" s="35" t="s">
        <v>41</v>
      </c>
      <c r="E212" s="35" t="s">
        <v>50</v>
      </c>
      <c r="F212" s="35" t="s">
        <v>25</v>
      </c>
      <c r="G212" s="35" t="s">
        <v>25</v>
      </c>
      <c r="H212" s="35" t="s">
        <v>37</v>
      </c>
      <c r="I212" s="54">
        <v>44774</v>
      </c>
      <c r="J212" s="55">
        <f>EFEITO!$J$212*EFEITO!$Y$164</f>
        <v>0</v>
      </c>
      <c r="K212" s="55">
        <f ca="1">EFEITO!$L$212*EFEITO!$Z$164</f>
        <v>38903.646088130503</v>
      </c>
      <c r="L212" s="55">
        <f>EFEITO!$N$212*EFEITO!$AA$164</f>
        <v>3268.2274437421374</v>
      </c>
      <c r="M212" s="55">
        <f>$J$212-EFEITO!$K$212*EFEITO!$Y$212</f>
        <v>0</v>
      </c>
      <c r="N212" s="55">
        <f ca="1">$K$212-EFEITO!$M$212*EFEITO!$Z$212</f>
        <v>778.07292176261399</v>
      </c>
      <c r="O212" s="55">
        <f>$L$212-EFEITO!$O$212*EFEITO!$AA$212</f>
        <v>65.364548874842512</v>
      </c>
      <c r="P212" s="39"/>
      <c r="Q212" s="39"/>
      <c r="R212" s="39"/>
      <c r="S212" s="39"/>
      <c r="T212" s="39"/>
      <c r="U212" s="39"/>
      <c r="V212" s="39"/>
      <c r="W212" s="3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5" t="s">
        <v>21</v>
      </c>
      <c r="B213" s="35" t="s">
        <v>35</v>
      </c>
      <c r="C213" s="35" t="s">
        <v>36</v>
      </c>
      <c r="D213" s="35" t="s">
        <v>41</v>
      </c>
      <c r="E213" s="35" t="s">
        <v>25</v>
      </c>
      <c r="F213" s="35" t="s">
        <v>25</v>
      </c>
      <c r="G213" s="35" t="s">
        <v>25</v>
      </c>
      <c r="H213" s="35" t="s">
        <v>38</v>
      </c>
      <c r="I213" s="54">
        <v>44440</v>
      </c>
      <c r="J213" s="55">
        <f>EFEITO!$J$213*EFEITO!$Y$140</f>
        <v>0</v>
      </c>
      <c r="K213" s="55">
        <f ca="1">EFEITO!$L$213*EFEITO!$Z$140</f>
        <v>4879.0693212935657</v>
      </c>
      <c r="L213" s="55">
        <f>EFEITO!$N$213*EFEITO!$AA$140</f>
        <v>9033.5171242297274</v>
      </c>
      <c r="M213" s="55">
        <f>$J$213-EFEITO!$K$213*EFEITO!$Y$213</f>
        <v>0</v>
      </c>
      <c r="N213" s="55">
        <f ca="1">$K$213-EFEITO!$M$213*EFEITO!$Z$213</f>
        <v>97.581386425871642</v>
      </c>
      <c r="O213" s="55">
        <f>$L$213-EFEITO!$O$213*EFEITO!$AA$213</f>
        <v>180.67034248459277</v>
      </c>
      <c r="P213" s="39"/>
      <c r="Q213" s="39"/>
      <c r="R213" s="39"/>
      <c r="S213" s="39"/>
      <c r="T213" s="39"/>
      <c r="U213" s="39"/>
      <c r="V213" s="39"/>
      <c r="W213" s="3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5" t="s">
        <v>21</v>
      </c>
      <c r="B214" s="35" t="s">
        <v>35</v>
      </c>
      <c r="C214" s="35" t="s">
        <v>36</v>
      </c>
      <c r="D214" s="35" t="s">
        <v>41</v>
      </c>
      <c r="E214" s="35" t="s">
        <v>25</v>
      </c>
      <c r="F214" s="35" t="s">
        <v>25</v>
      </c>
      <c r="G214" s="35" t="s">
        <v>25</v>
      </c>
      <c r="H214" s="35" t="s">
        <v>38</v>
      </c>
      <c r="I214" s="54">
        <v>44470</v>
      </c>
      <c r="J214" s="55">
        <f>EFEITO!$J$214*EFEITO!$Y$140</f>
        <v>0</v>
      </c>
      <c r="K214" s="55">
        <f ca="1">EFEITO!$L$214*EFEITO!$Z$140</f>
        <v>1889.776844615234</v>
      </c>
      <c r="L214" s="55">
        <f>EFEITO!$N$214*EFEITO!$AA$140</f>
        <v>3498.8909487923597</v>
      </c>
      <c r="M214" s="55">
        <f>$J$214-EFEITO!$K$214*EFEITO!$Y$214</f>
        <v>0</v>
      </c>
      <c r="N214" s="55">
        <f ca="1">$K$214-EFEITO!$M$214*EFEITO!$Z$214</f>
        <v>37.795536892304881</v>
      </c>
      <c r="O214" s="55">
        <f>$L$214-EFEITO!$O$214*EFEITO!$AA$214</f>
        <v>69.977818975847185</v>
      </c>
      <c r="P214" s="39"/>
      <c r="Q214" s="39"/>
      <c r="R214" s="39"/>
      <c r="S214" s="39"/>
      <c r="T214" s="39"/>
      <c r="U214" s="39"/>
      <c r="V214" s="39"/>
      <c r="W214" s="3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5" t="s">
        <v>21</v>
      </c>
      <c r="B215" s="35" t="s">
        <v>35</v>
      </c>
      <c r="C215" s="35" t="s">
        <v>36</v>
      </c>
      <c r="D215" s="35" t="s">
        <v>41</v>
      </c>
      <c r="E215" s="35" t="s">
        <v>25</v>
      </c>
      <c r="F215" s="35" t="s">
        <v>25</v>
      </c>
      <c r="G215" s="35" t="s">
        <v>25</v>
      </c>
      <c r="H215" s="35" t="s">
        <v>38</v>
      </c>
      <c r="I215" s="54">
        <v>44501</v>
      </c>
      <c r="J215" s="55">
        <f>EFEITO!$J$215*EFEITO!$Y$140</f>
        <v>0</v>
      </c>
      <c r="K215" s="55">
        <f ca="1">EFEITO!$L$215*EFEITO!$Z$140</f>
        <v>1610.7668663906422</v>
      </c>
      <c r="L215" s="55">
        <f>EFEITO!$N$215*EFEITO!$AA$140</f>
        <v>2982.308533141299</v>
      </c>
      <c r="M215" s="55">
        <f>$J$215-EFEITO!$K$215*EFEITO!$Y$215</f>
        <v>0</v>
      </c>
      <c r="N215" s="55">
        <f ca="1">$K$215-EFEITO!$M$215*EFEITO!$Z$215</f>
        <v>32.215337327812904</v>
      </c>
      <c r="O215" s="55">
        <f>$L$215-EFEITO!$O$215*EFEITO!$AA$215</f>
        <v>59.64617066282608</v>
      </c>
      <c r="P215" s="39"/>
      <c r="Q215" s="39"/>
      <c r="R215" s="39"/>
      <c r="S215" s="39"/>
      <c r="T215" s="39"/>
      <c r="U215" s="39"/>
      <c r="V215" s="39"/>
      <c r="W215" s="3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5" t="s">
        <v>21</v>
      </c>
      <c r="B216" s="35" t="s">
        <v>35</v>
      </c>
      <c r="C216" s="35" t="s">
        <v>36</v>
      </c>
      <c r="D216" s="35" t="s">
        <v>41</v>
      </c>
      <c r="E216" s="35" t="s">
        <v>25</v>
      </c>
      <c r="F216" s="35" t="s">
        <v>25</v>
      </c>
      <c r="G216" s="35" t="s">
        <v>25</v>
      </c>
      <c r="H216" s="35" t="s">
        <v>38</v>
      </c>
      <c r="I216" s="54">
        <v>44531</v>
      </c>
      <c r="J216" s="55">
        <f>EFEITO!$J$216*EFEITO!$Y$140</f>
        <v>0</v>
      </c>
      <c r="K216" s="55">
        <f ca="1">EFEITO!$L$216*EFEITO!$Z$140</f>
        <v>1577.4178632503736</v>
      </c>
      <c r="L216" s="55">
        <f>EFEITO!$N$216*EFEITO!$AA$140</f>
        <v>2920.5633987508454</v>
      </c>
      <c r="M216" s="55">
        <f>$J$216-EFEITO!$K$216*EFEITO!$Y$216</f>
        <v>0</v>
      </c>
      <c r="N216" s="55">
        <f ca="1">$K$216-EFEITO!$M$216*EFEITO!$Z$216</f>
        <v>31.548357265007553</v>
      </c>
      <c r="O216" s="55">
        <f>$L$216-EFEITO!$O$216*EFEITO!$AA$216</f>
        <v>58.411267975016926</v>
      </c>
      <c r="P216" s="39"/>
      <c r="Q216" s="39"/>
      <c r="R216" s="39"/>
      <c r="S216" s="39"/>
      <c r="T216" s="39"/>
      <c r="U216" s="39"/>
      <c r="V216" s="39"/>
      <c r="W216" s="3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5" t="s">
        <v>21</v>
      </c>
      <c r="B217" s="35" t="s">
        <v>35</v>
      </c>
      <c r="C217" s="35" t="s">
        <v>36</v>
      </c>
      <c r="D217" s="35" t="s">
        <v>41</v>
      </c>
      <c r="E217" s="35" t="s">
        <v>25</v>
      </c>
      <c r="F217" s="35" t="s">
        <v>25</v>
      </c>
      <c r="G217" s="35" t="s">
        <v>25</v>
      </c>
      <c r="H217" s="35" t="s">
        <v>38</v>
      </c>
      <c r="I217" s="54">
        <v>44562</v>
      </c>
      <c r="J217" s="55">
        <f>EFEITO!$J$217*EFEITO!$Y$140</f>
        <v>0</v>
      </c>
      <c r="K217" s="55">
        <f ca="1">EFEITO!$L$217*EFEITO!$Z$140</f>
        <v>1456.239803791739</v>
      </c>
      <c r="L217" s="55">
        <f>EFEITO!$N$217*EFEITO!$AA$140</f>
        <v>2696.2042017164654</v>
      </c>
      <c r="M217" s="55">
        <f>$J$217-EFEITO!$K$217*EFEITO!$Y$217</f>
        <v>0</v>
      </c>
      <c r="N217" s="55">
        <f ca="1">$K$217-EFEITO!$M$217*EFEITO!$Z$217</f>
        <v>29.124796075834638</v>
      </c>
      <c r="O217" s="55">
        <f>$L$217-EFEITO!$O$217*EFEITO!$AA$217</f>
        <v>53.924084034329098</v>
      </c>
      <c r="P217" s="39"/>
      <c r="Q217" s="39"/>
      <c r="R217" s="39"/>
      <c r="S217" s="39"/>
      <c r="T217" s="39"/>
      <c r="U217" s="39"/>
      <c r="V217" s="39"/>
      <c r="W217" s="3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5" t="s">
        <v>21</v>
      </c>
      <c r="B218" s="35" t="s">
        <v>35</v>
      </c>
      <c r="C218" s="35" t="s">
        <v>36</v>
      </c>
      <c r="D218" s="35" t="s">
        <v>41</v>
      </c>
      <c r="E218" s="35" t="s">
        <v>25</v>
      </c>
      <c r="F218" s="35" t="s">
        <v>25</v>
      </c>
      <c r="G218" s="35" t="s">
        <v>25</v>
      </c>
      <c r="H218" s="35" t="s">
        <v>38</v>
      </c>
      <c r="I218" s="54">
        <v>44593</v>
      </c>
      <c r="J218" s="55">
        <f>EFEITO!$J$218*EFEITO!$Y$140</f>
        <v>0</v>
      </c>
      <c r="K218" s="55">
        <f ca="1">EFEITO!$L$218*EFEITO!$Z$140</f>
        <v>1419.3856501712617</v>
      </c>
      <c r="L218" s="55">
        <f>EFEITO!$N$218*EFEITO!$AA$140</f>
        <v>2627.9693384861744</v>
      </c>
      <c r="M218" s="55">
        <f>$J$218-EFEITO!$K$218*EFEITO!$Y$218</f>
        <v>0</v>
      </c>
      <c r="N218" s="55">
        <f ca="1">$K$218-EFEITO!$M$218*EFEITO!$Z$218</f>
        <v>28.387713003425233</v>
      </c>
      <c r="O218" s="55">
        <f>$L$218-EFEITO!$O$218*EFEITO!$AA$218</f>
        <v>52.55938676972346</v>
      </c>
      <c r="P218" s="39"/>
      <c r="Q218" s="39"/>
      <c r="R218" s="39"/>
      <c r="S218" s="39"/>
      <c r="T218" s="39"/>
      <c r="U218" s="39"/>
      <c r="V218" s="39"/>
      <c r="W218" s="3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5" t="s">
        <v>21</v>
      </c>
      <c r="B219" s="35" t="s">
        <v>35</v>
      </c>
      <c r="C219" s="35" t="s">
        <v>36</v>
      </c>
      <c r="D219" s="35" t="s">
        <v>41</v>
      </c>
      <c r="E219" s="35" t="s">
        <v>25</v>
      </c>
      <c r="F219" s="35" t="s">
        <v>25</v>
      </c>
      <c r="G219" s="35" t="s">
        <v>25</v>
      </c>
      <c r="H219" s="35" t="s">
        <v>38</v>
      </c>
      <c r="I219" s="54">
        <v>44621</v>
      </c>
      <c r="J219" s="55">
        <f>EFEITO!$J$219*EFEITO!$Y$140</f>
        <v>0</v>
      </c>
      <c r="K219" s="55">
        <f ca="1">EFEITO!$L$219*EFEITO!$Z$140</f>
        <v>1788.9286579418083</v>
      </c>
      <c r="L219" s="55">
        <f>EFEITO!$N$219*EFEITO!$AA$140</f>
        <v>3312.1721790290362</v>
      </c>
      <c r="M219" s="55">
        <f>$J$219-EFEITO!$K$219*EFEITO!$Y$219</f>
        <v>0</v>
      </c>
      <c r="N219" s="55">
        <f ca="1">$K$219-EFEITO!$M$219*EFEITO!$Z$219</f>
        <v>35.778573158836252</v>
      </c>
      <c r="O219" s="55">
        <f>$L$219-EFEITO!$O$219*EFEITO!$AA$219</f>
        <v>66.243443580580333</v>
      </c>
      <c r="P219" s="39"/>
      <c r="Q219" s="39"/>
      <c r="R219" s="39"/>
      <c r="S219" s="39"/>
      <c r="T219" s="39"/>
      <c r="U219" s="39"/>
      <c r="V219" s="39"/>
      <c r="W219" s="3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5" t="s">
        <v>21</v>
      </c>
      <c r="B220" s="35" t="s">
        <v>35</v>
      </c>
      <c r="C220" s="35" t="s">
        <v>36</v>
      </c>
      <c r="D220" s="35" t="s">
        <v>41</v>
      </c>
      <c r="E220" s="35" t="s">
        <v>25</v>
      </c>
      <c r="F220" s="35" t="s">
        <v>25</v>
      </c>
      <c r="G220" s="35" t="s">
        <v>25</v>
      </c>
      <c r="H220" s="35" t="s">
        <v>38</v>
      </c>
      <c r="I220" s="54">
        <v>44652</v>
      </c>
      <c r="J220" s="55">
        <f>EFEITO!$J$220*EFEITO!$Y$140</f>
        <v>0</v>
      </c>
      <c r="K220" s="55">
        <f ca="1">EFEITO!$L$220*EFEITO!$Z$140</f>
        <v>1459.2442184890606</v>
      </c>
      <c r="L220" s="55">
        <f>EFEITO!$N$220*EFEITO!$AA$140</f>
        <v>2701.766826436326</v>
      </c>
      <c r="M220" s="55">
        <f>$J$220-EFEITO!$K$220*EFEITO!$Y$220</f>
        <v>0</v>
      </c>
      <c r="N220" s="55">
        <f ca="1">$K$220-EFEITO!$M$220*EFEITO!$Z$220</f>
        <v>29.18488436978123</v>
      </c>
      <c r="O220" s="55">
        <f>$L$220-EFEITO!$O$220*EFEITO!$AA$220</f>
        <v>54.035336528726475</v>
      </c>
      <c r="P220" s="39"/>
      <c r="Q220" s="39"/>
      <c r="R220" s="39"/>
      <c r="S220" s="39"/>
      <c r="T220" s="39"/>
      <c r="U220" s="39"/>
      <c r="V220" s="39"/>
      <c r="W220" s="3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5" t="s">
        <v>21</v>
      </c>
      <c r="B221" s="35" t="s">
        <v>35</v>
      </c>
      <c r="C221" s="35" t="s">
        <v>36</v>
      </c>
      <c r="D221" s="35" t="s">
        <v>41</v>
      </c>
      <c r="E221" s="35" t="s">
        <v>25</v>
      </c>
      <c r="F221" s="35" t="s">
        <v>25</v>
      </c>
      <c r="G221" s="35" t="s">
        <v>25</v>
      </c>
      <c r="H221" s="35" t="s">
        <v>38</v>
      </c>
      <c r="I221" s="54">
        <v>44682</v>
      </c>
      <c r="J221" s="55">
        <f>EFEITO!$J$221*EFEITO!$Y$140</f>
        <v>0</v>
      </c>
      <c r="K221" s="55">
        <f ca="1">EFEITO!$L$221*EFEITO!$Z$140</f>
        <v>7192.2683439179773</v>
      </c>
      <c r="L221" s="55">
        <f>EFEITO!$N$221*EFEITO!$AA$140</f>
        <v>13316.36731687445</v>
      </c>
      <c r="M221" s="55">
        <f>$J$221-EFEITO!$K$221*EFEITO!$Y$221</f>
        <v>0</v>
      </c>
      <c r="N221" s="55">
        <f ca="1">$K$221-EFEITO!$M$221*EFEITO!$Z$221</f>
        <v>143.84536687835953</v>
      </c>
      <c r="O221" s="55">
        <f>$L$221-EFEITO!$O$221*EFEITO!$AA$221</f>
        <v>266.32734633748987</v>
      </c>
      <c r="P221" s="39"/>
      <c r="Q221" s="39"/>
      <c r="R221" s="39"/>
      <c r="S221" s="39"/>
      <c r="T221" s="39"/>
      <c r="U221" s="39"/>
      <c r="V221" s="39"/>
      <c r="W221" s="3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5" t="s">
        <v>21</v>
      </c>
      <c r="B222" s="35" t="s">
        <v>35</v>
      </c>
      <c r="C222" s="35" t="s">
        <v>36</v>
      </c>
      <c r="D222" s="35" t="s">
        <v>41</v>
      </c>
      <c r="E222" s="35" t="s">
        <v>25</v>
      </c>
      <c r="F222" s="35" t="s">
        <v>25</v>
      </c>
      <c r="G222" s="35" t="s">
        <v>25</v>
      </c>
      <c r="H222" s="35" t="s">
        <v>38</v>
      </c>
      <c r="I222" s="54">
        <v>44713</v>
      </c>
      <c r="J222" s="55">
        <f>EFEITO!$J$222*EFEITO!$Y$140</f>
        <v>0</v>
      </c>
      <c r="K222" s="55">
        <f ca="1">EFEITO!$L$222*EFEITO!$Z$140</f>
        <v>8666.7349302068014</v>
      </c>
      <c r="L222" s="55">
        <f>EFEITO!$N$222*EFEITO!$AA$140</f>
        <v>16046.318108558071</v>
      </c>
      <c r="M222" s="55">
        <f>$J$222-EFEITO!$K$222*EFEITO!$Y$222</f>
        <v>0</v>
      </c>
      <c r="N222" s="55">
        <f ca="1">$K$222-EFEITO!$M$222*EFEITO!$Z$222</f>
        <v>173.33469860413607</v>
      </c>
      <c r="O222" s="55">
        <f>$L$222-EFEITO!$O$222*EFEITO!$AA$222</f>
        <v>320.92636217115978</v>
      </c>
      <c r="P222" s="39"/>
      <c r="Q222" s="39"/>
      <c r="R222" s="39"/>
      <c r="S222" s="39"/>
      <c r="T222" s="39"/>
      <c r="U222" s="39"/>
      <c r="V222" s="39"/>
      <c r="W222" s="3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5" t="s">
        <v>21</v>
      </c>
      <c r="B223" s="35" t="s">
        <v>35</v>
      </c>
      <c r="C223" s="35" t="s">
        <v>36</v>
      </c>
      <c r="D223" s="35" t="s">
        <v>41</v>
      </c>
      <c r="E223" s="35" t="s">
        <v>25</v>
      </c>
      <c r="F223" s="35" t="s">
        <v>25</v>
      </c>
      <c r="G223" s="35" t="s">
        <v>25</v>
      </c>
      <c r="H223" s="35" t="s">
        <v>38</v>
      </c>
      <c r="I223" s="54">
        <v>44743</v>
      </c>
      <c r="J223" s="55">
        <f>EFEITO!$J$223*EFEITO!$Y$140</f>
        <v>0</v>
      </c>
      <c r="K223" s="55">
        <f ca="1">EFEITO!$L$223*EFEITO!$Z$140</f>
        <v>7131.7794613452379</v>
      </c>
      <c r="L223" s="55">
        <f>EFEITO!$N$223*EFEITO!$AA$140</f>
        <v>13204.373139181254</v>
      </c>
      <c r="M223" s="55">
        <f>$J$223-EFEITO!$K$223*EFEITO!$Y$223</f>
        <v>0</v>
      </c>
      <c r="N223" s="55">
        <f ca="1">$K$223-EFEITO!$M$223*EFEITO!$Z$223</f>
        <v>142.63558922690481</v>
      </c>
      <c r="O223" s="55">
        <f>$L$223-EFEITO!$O$223*EFEITO!$AA$223</f>
        <v>264.08746278362378</v>
      </c>
      <c r="P223" s="39"/>
      <c r="Q223" s="39"/>
      <c r="R223" s="39"/>
      <c r="S223" s="39"/>
      <c r="T223" s="39"/>
      <c r="U223" s="39"/>
      <c r="V223" s="39"/>
      <c r="W223" s="3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5" t="s">
        <v>21</v>
      </c>
      <c r="B224" s="35" t="s">
        <v>35</v>
      </c>
      <c r="C224" s="35" t="s">
        <v>36</v>
      </c>
      <c r="D224" s="35" t="s">
        <v>41</v>
      </c>
      <c r="E224" s="35" t="s">
        <v>25</v>
      </c>
      <c r="F224" s="35" t="s">
        <v>25</v>
      </c>
      <c r="G224" s="35" t="s">
        <v>25</v>
      </c>
      <c r="H224" s="35" t="s">
        <v>38</v>
      </c>
      <c r="I224" s="54">
        <v>44774</v>
      </c>
      <c r="J224" s="55">
        <f>EFEITO!$J$224*EFEITO!$Y$140</f>
        <v>0</v>
      </c>
      <c r="K224" s="55">
        <f ca="1">EFEITO!$L$224*EFEITO!$Z$140</f>
        <v>7199.2786448783954</v>
      </c>
      <c r="L224" s="55">
        <f>EFEITO!$N$224*EFEITO!$AA$140</f>
        <v>13329.346774554126</v>
      </c>
      <c r="M224" s="55">
        <f>$J$224-EFEITO!$K$224*EFEITO!$Y$224</f>
        <v>0</v>
      </c>
      <c r="N224" s="55">
        <f ca="1">$K$224-EFEITO!$M$224*EFEITO!$Z$224</f>
        <v>143.98557289756809</v>
      </c>
      <c r="O224" s="55">
        <f>$L$224-EFEITO!$O$224*EFEITO!$AA$224</f>
        <v>266.58693549108284</v>
      </c>
      <c r="P224" s="39"/>
      <c r="Q224" s="39"/>
      <c r="R224" s="39"/>
      <c r="S224" s="39"/>
      <c r="T224" s="39"/>
      <c r="U224" s="39"/>
      <c r="V224" s="39"/>
      <c r="W224" s="3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5" t="s">
        <v>21</v>
      </c>
      <c r="B225" s="35" t="s">
        <v>35</v>
      </c>
      <c r="C225" s="35" t="s">
        <v>36</v>
      </c>
      <c r="D225" s="35" t="s">
        <v>41</v>
      </c>
      <c r="E225" s="35" t="s">
        <v>25</v>
      </c>
      <c r="F225" s="35" t="s">
        <v>25</v>
      </c>
      <c r="G225" s="35" t="s">
        <v>25</v>
      </c>
      <c r="H225" s="35" t="s">
        <v>25</v>
      </c>
      <c r="I225" s="54">
        <v>44440</v>
      </c>
      <c r="J225" s="55">
        <f ca="1">EFEITO!$J$225*EFEITO!$Y$152</f>
        <v>7935.3925689871467</v>
      </c>
      <c r="K225" s="55">
        <f>EFEITO!$L$225*EFEITO!$Z$152</f>
        <v>0</v>
      </c>
      <c r="L225" s="55">
        <f>EFEITO!$N$225*EFEITO!$AA$152</f>
        <v>0</v>
      </c>
      <c r="M225" s="55">
        <f ca="1">$J$225-EFEITO!$K$225*EFEITO!$Y$225</f>
        <v>158.70785137974326</v>
      </c>
      <c r="N225" s="55">
        <f>$K$225-EFEITO!$M$225*EFEITO!$Z$225</f>
        <v>0</v>
      </c>
      <c r="O225" s="55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5" t="s">
        <v>21</v>
      </c>
      <c r="B226" s="35" t="s">
        <v>35</v>
      </c>
      <c r="C226" s="35" t="s">
        <v>36</v>
      </c>
      <c r="D226" s="35" t="s">
        <v>41</v>
      </c>
      <c r="E226" s="35" t="s">
        <v>25</v>
      </c>
      <c r="F226" s="35" t="s">
        <v>25</v>
      </c>
      <c r="G226" s="35" t="s">
        <v>25</v>
      </c>
      <c r="H226" s="35" t="s">
        <v>25</v>
      </c>
      <c r="I226" s="54">
        <v>44470</v>
      </c>
      <c r="J226" s="55">
        <f ca="1">EFEITO!$J$226*EFEITO!$Y$152</f>
        <v>6729.6615426039407</v>
      </c>
      <c r="K226" s="55">
        <f>EFEITO!$L$226*EFEITO!$Z$152</f>
        <v>0</v>
      </c>
      <c r="L226" s="55">
        <f>EFEITO!$N$226*EFEITO!$AA$152</f>
        <v>0</v>
      </c>
      <c r="M226" s="55">
        <f ca="1">$J$226-EFEITO!$K$226*EFEITO!$Y$226</f>
        <v>134.5932308520787</v>
      </c>
      <c r="N226" s="55">
        <f>$K$226-EFEITO!$M$226*EFEITO!$Z$226</f>
        <v>0</v>
      </c>
      <c r="O226" s="55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5" t="s">
        <v>21</v>
      </c>
      <c r="B227" s="35" t="s">
        <v>35</v>
      </c>
      <c r="C227" s="35" t="s">
        <v>36</v>
      </c>
      <c r="D227" s="35" t="s">
        <v>41</v>
      </c>
      <c r="E227" s="35" t="s">
        <v>25</v>
      </c>
      <c r="F227" s="35" t="s">
        <v>25</v>
      </c>
      <c r="G227" s="35" t="s">
        <v>25</v>
      </c>
      <c r="H227" s="35" t="s">
        <v>25</v>
      </c>
      <c r="I227" s="54">
        <v>44501</v>
      </c>
      <c r="J227" s="55">
        <f ca="1">EFEITO!$J$227*EFEITO!$Y$152</f>
        <v>20974.111807782279</v>
      </c>
      <c r="K227" s="55">
        <f>EFEITO!$L$227*EFEITO!$Z$152</f>
        <v>0</v>
      </c>
      <c r="L227" s="55">
        <f>EFEITO!$N$227*EFEITO!$AA$152</f>
        <v>0</v>
      </c>
      <c r="M227" s="55">
        <f ca="1">$J$227-EFEITO!$K$227*EFEITO!$Y$227</f>
        <v>419.48223615564348</v>
      </c>
      <c r="N227" s="55">
        <f>$K$227-EFEITO!$M$227*EFEITO!$Z$227</f>
        <v>0</v>
      </c>
      <c r="O227" s="55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5" t="s">
        <v>21</v>
      </c>
      <c r="B228" s="35" t="s">
        <v>35</v>
      </c>
      <c r="C228" s="35" t="s">
        <v>36</v>
      </c>
      <c r="D228" s="35" t="s">
        <v>41</v>
      </c>
      <c r="E228" s="35" t="s">
        <v>25</v>
      </c>
      <c r="F228" s="35" t="s">
        <v>25</v>
      </c>
      <c r="G228" s="35" t="s">
        <v>25</v>
      </c>
      <c r="H228" s="35" t="s">
        <v>25</v>
      </c>
      <c r="I228" s="54">
        <v>44531</v>
      </c>
      <c r="J228" s="55">
        <f ca="1">EFEITO!$J$228*EFEITO!$Y$152</f>
        <v>4935.0851312428895</v>
      </c>
      <c r="K228" s="55">
        <f>EFEITO!$L$228*EFEITO!$Z$152</f>
        <v>0</v>
      </c>
      <c r="L228" s="55">
        <f>EFEITO!$N$228*EFEITO!$AA$152</f>
        <v>0</v>
      </c>
      <c r="M228" s="55">
        <f ca="1">$J$228-EFEITO!$K$228*EFEITO!$Y$228</f>
        <v>98.701702624857717</v>
      </c>
      <c r="N228" s="55">
        <f>$K$228-EFEITO!$M$228*EFEITO!$Z$228</f>
        <v>0</v>
      </c>
      <c r="O228" s="55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5" t="s">
        <v>21</v>
      </c>
      <c r="B229" s="35" t="s">
        <v>35</v>
      </c>
      <c r="C229" s="35" t="s">
        <v>36</v>
      </c>
      <c r="D229" s="35" t="s">
        <v>41</v>
      </c>
      <c r="E229" s="35" t="s">
        <v>25</v>
      </c>
      <c r="F229" s="35" t="s">
        <v>25</v>
      </c>
      <c r="G229" s="35" t="s">
        <v>25</v>
      </c>
      <c r="H229" s="35" t="s">
        <v>25</v>
      </c>
      <c r="I229" s="54">
        <v>44562</v>
      </c>
      <c r="J229" s="55">
        <f ca="1">EFEITO!$J$229*EFEITO!$Y$152</f>
        <v>4121.9176948449131</v>
      </c>
      <c r="K229" s="55">
        <f>EFEITO!$L$229*EFEITO!$Z$152</f>
        <v>0</v>
      </c>
      <c r="L229" s="55">
        <f>EFEITO!$N$229*EFEITO!$AA$152</f>
        <v>0</v>
      </c>
      <c r="M229" s="55">
        <f ca="1">$J$229-EFEITO!$K$229*EFEITO!$Y$229</f>
        <v>82.438353896897752</v>
      </c>
      <c r="N229" s="55">
        <f>$K$229-EFEITO!$M$229*EFEITO!$Z$229</f>
        <v>0</v>
      </c>
      <c r="O229" s="55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5" t="s">
        <v>21</v>
      </c>
      <c r="B230" s="35" t="s">
        <v>35</v>
      </c>
      <c r="C230" s="35" t="s">
        <v>36</v>
      </c>
      <c r="D230" s="35" t="s">
        <v>41</v>
      </c>
      <c r="E230" s="35" t="s">
        <v>25</v>
      </c>
      <c r="F230" s="35" t="s">
        <v>25</v>
      </c>
      <c r="G230" s="35" t="s">
        <v>25</v>
      </c>
      <c r="H230" s="35" t="s">
        <v>25</v>
      </c>
      <c r="I230" s="54">
        <v>44593</v>
      </c>
      <c r="J230" s="55">
        <f ca="1">EFEITO!$J$230*EFEITO!$Y$152</f>
        <v>4430.3605155475943</v>
      </c>
      <c r="K230" s="55">
        <f>EFEITO!$L$230*EFEITO!$Z$152</f>
        <v>0</v>
      </c>
      <c r="L230" s="55">
        <f>EFEITO!$N$230*EFEITO!$AA$152</f>
        <v>0</v>
      </c>
      <c r="M230" s="55">
        <f ca="1">$J$230-EFEITO!$K$230*EFEITO!$Y$230</f>
        <v>88.607210310951814</v>
      </c>
      <c r="N230" s="55">
        <f>$K$230-EFEITO!$M$230*EFEITO!$Z$230</f>
        <v>0</v>
      </c>
      <c r="O230" s="55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5" t="s">
        <v>21</v>
      </c>
      <c r="B231" s="35" t="s">
        <v>35</v>
      </c>
      <c r="C231" s="35" t="s">
        <v>36</v>
      </c>
      <c r="D231" s="35" t="s">
        <v>41</v>
      </c>
      <c r="E231" s="35" t="s">
        <v>25</v>
      </c>
      <c r="F231" s="35" t="s">
        <v>25</v>
      </c>
      <c r="G231" s="35" t="s">
        <v>25</v>
      </c>
      <c r="H231" s="35" t="s">
        <v>25</v>
      </c>
      <c r="I231" s="54">
        <v>44621</v>
      </c>
      <c r="J231" s="55">
        <f ca="1">EFEITO!$J$231*EFEITO!$Y$152</f>
        <v>4430.3605155475943</v>
      </c>
      <c r="K231" s="55">
        <f>EFEITO!$L$231*EFEITO!$Z$152</f>
        <v>0</v>
      </c>
      <c r="L231" s="55">
        <f>EFEITO!$N$231*EFEITO!$AA$152</f>
        <v>0</v>
      </c>
      <c r="M231" s="55">
        <f ca="1">$J$231-EFEITO!$K$231*EFEITO!$Y$231</f>
        <v>88.607210310951814</v>
      </c>
      <c r="N231" s="55">
        <f>$K$231-EFEITO!$M$231*EFEITO!$Z$231</f>
        <v>0</v>
      </c>
      <c r="O231" s="55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5" t="s">
        <v>21</v>
      </c>
      <c r="B232" s="35" t="s">
        <v>35</v>
      </c>
      <c r="C232" s="35" t="s">
        <v>36</v>
      </c>
      <c r="D232" s="35" t="s">
        <v>41</v>
      </c>
      <c r="E232" s="35" t="s">
        <v>25</v>
      </c>
      <c r="F232" s="35" t="s">
        <v>25</v>
      </c>
      <c r="G232" s="35" t="s">
        <v>25</v>
      </c>
      <c r="H232" s="35" t="s">
        <v>25</v>
      </c>
      <c r="I232" s="54">
        <v>44652</v>
      </c>
      <c r="J232" s="55">
        <f ca="1">EFEITO!$J$232*EFEITO!$Y$152</f>
        <v>4234.0787205549796</v>
      </c>
      <c r="K232" s="55">
        <f>EFEITO!$L$232*EFEITO!$Z$152</f>
        <v>0</v>
      </c>
      <c r="L232" s="55">
        <f>EFEITO!$N$232*EFEITO!$AA$152</f>
        <v>0</v>
      </c>
      <c r="M232" s="55">
        <f ca="1">$J$232-EFEITO!$K$232*EFEITO!$Y$232</f>
        <v>84.681574411099973</v>
      </c>
      <c r="N232" s="55">
        <f>$K$232-EFEITO!$M$232*EFEITO!$Z$232</f>
        <v>0</v>
      </c>
      <c r="O232" s="55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5" t="s">
        <v>21</v>
      </c>
      <c r="B233" s="35" t="s">
        <v>35</v>
      </c>
      <c r="C233" s="35" t="s">
        <v>36</v>
      </c>
      <c r="D233" s="35" t="s">
        <v>41</v>
      </c>
      <c r="E233" s="35" t="s">
        <v>25</v>
      </c>
      <c r="F233" s="35" t="s">
        <v>25</v>
      </c>
      <c r="G233" s="35" t="s">
        <v>25</v>
      </c>
      <c r="H233" s="35" t="s">
        <v>25</v>
      </c>
      <c r="I233" s="54">
        <v>44682</v>
      </c>
      <c r="J233" s="55">
        <f ca="1">EFEITO!$J$233*EFEITO!$Y$152</f>
        <v>13038.719238795135</v>
      </c>
      <c r="K233" s="55">
        <f>EFEITO!$L$233*EFEITO!$Z$152</f>
        <v>0</v>
      </c>
      <c r="L233" s="55">
        <f>EFEITO!$N$233*EFEITO!$AA$152</f>
        <v>0</v>
      </c>
      <c r="M233" s="55">
        <f ca="1">$J$233-EFEITO!$K$233*EFEITO!$Y$233</f>
        <v>260.77438477590294</v>
      </c>
      <c r="N233" s="55">
        <f>$K$233-EFEITO!$M$233*EFEITO!$Z$233</f>
        <v>0</v>
      </c>
      <c r="O233" s="55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5" t="s">
        <v>21</v>
      </c>
      <c r="B234" s="35" t="s">
        <v>35</v>
      </c>
      <c r="C234" s="35" t="s">
        <v>36</v>
      </c>
      <c r="D234" s="35" t="s">
        <v>41</v>
      </c>
      <c r="E234" s="35" t="s">
        <v>25</v>
      </c>
      <c r="F234" s="35" t="s">
        <v>25</v>
      </c>
      <c r="G234" s="35" t="s">
        <v>25</v>
      </c>
      <c r="H234" s="35" t="s">
        <v>25</v>
      </c>
      <c r="I234" s="54">
        <v>44713</v>
      </c>
      <c r="J234" s="55">
        <f ca="1">EFEITO!$J$234*EFEITO!$Y$152</f>
        <v>7290.4666711542686</v>
      </c>
      <c r="K234" s="55">
        <f>EFEITO!$L$234*EFEITO!$Z$152</f>
        <v>0</v>
      </c>
      <c r="L234" s="55">
        <f>EFEITO!$N$234*EFEITO!$AA$152</f>
        <v>0</v>
      </c>
      <c r="M234" s="55">
        <f ca="1">$J$234-EFEITO!$K$234*EFEITO!$Y$234</f>
        <v>145.80933342308526</v>
      </c>
      <c r="N234" s="55">
        <f>$K$234-EFEITO!$M$234*EFEITO!$Z$234</f>
        <v>0</v>
      </c>
      <c r="O234" s="55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5" t="s">
        <v>21</v>
      </c>
      <c r="B235" s="35" t="s">
        <v>35</v>
      </c>
      <c r="C235" s="35" t="s">
        <v>36</v>
      </c>
      <c r="D235" s="35" t="s">
        <v>41</v>
      </c>
      <c r="E235" s="35" t="s">
        <v>25</v>
      </c>
      <c r="F235" s="35" t="s">
        <v>25</v>
      </c>
      <c r="G235" s="35" t="s">
        <v>25</v>
      </c>
      <c r="H235" s="35" t="s">
        <v>25</v>
      </c>
      <c r="I235" s="54">
        <v>44743</v>
      </c>
      <c r="J235" s="55">
        <f ca="1">EFEITO!$J$235*EFEITO!$Y$152</f>
        <v>6645.5407733213915</v>
      </c>
      <c r="K235" s="55">
        <f>EFEITO!$L$235*EFEITO!$Z$152</f>
        <v>0</v>
      </c>
      <c r="L235" s="55">
        <f>EFEITO!$N$235*EFEITO!$AA$152</f>
        <v>0</v>
      </c>
      <c r="M235" s="55">
        <f ca="1">$J$235-EFEITO!$K$235*EFEITO!$Y$235</f>
        <v>132.91081546642818</v>
      </c>
      <c r="N235" s="55">
        <f>$K$235-EFEITO!$M$235*EFEITO!$Z$235</f>
        <v>0</v>
      </c>
      <c r="O235" s="55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5" t="s">
        <v>21</v>
      </c>
      <c r="B236" s="35" t="s">
        <v>35</v>
      </c>
      <c r="C236" s="35" t="s">
        <v>36</v>
      </c>
      <c r="D236" s="35" t="s">
        <v>41</v>
      </c>
      <c r="E236" s="35" t="s">
        <v>25</v>
      </c>
      <c r="F236" s="35" t="s">
        <v>25</v>
      </c>
      <c r="G236" s="35" t="s">
        <v>25</v>
      </c>
      <c r="H236" s="35" t="s">
        <v>25</v>
      </c>
      <c r="I236" s="54">
        <v>44774</v>
      </c>
      <c r="J236" s="55">
        <f ca="1">EFEITO!$J$236*EFEITO!$Y$152</f>
        <v>6393.178465473743</v>
      </c>
      <c r="K236" s="55">
        <f>EFEITO!$L$236*EFEITO!$Z$152</f>
        <v>0</v>
      </c>
      <c r="L236" s="55">
        <f>EFEITO!$N$236*EFEITO!$AA$152</f>
        <v>0</v>
      </c>
      <c r="M236" s="55">
        <f ca="1">$J$236-EFEITO!$K$236*EFEITO!$Y$236</f>
        <v>127.86356930947477</v>
      </c>
      <c r="N236" s="55">
        <f>$K$236-EFEITO!$M$236*EFEITO!$Z$236</f>
        <v>0</v>
      </c>
      <c r="O236" s="55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5" t="s">
        <v>21</v>
      </c>
      <c r="B237" s="35" t="s">
        <v>35</v>
      </c>
      <c r="C237" s="35" t="s">
        <v>36</v>
      </c>
      <c r="D237" s="35" t="s">
        <v>41</v>
      </c>
      <c r="E237" s="35" t="s">
        <v>25</v>
      </c>
      <c r="F237" s="35" t="s">
        <v>25</v>
      </c>
      <c r="G237" s="35" t="s">
        <v>25</v>
      </c>
      <c r="H237" s="35" t="s">
        <v>37</v>
      </c>
      <c r="I237" s="54">
        <v>44440</v>
      </c>
      <c r="J237" s="55">
        <f>EFEITO!$J$237*EFEITO!$Y$164</f>
        <v>0</v>
      </c>
      <c r="K237" s="55">
        <f ca="1">EFEITO!$L$237*EFEITO!$Z$164</f>
        <v>9373.8672946947827</v>
      </c>
      <c r="L237" s="55">
        <f>EFEITO!$N$237*EFEITO!$AA$164</f>
        <v>787.48223950827503</v>
      </c>
      <c r="M237" s="55">
        <f>$J$237-EFEITO!$K$237*EFEITO!$Y$237</f>
        <v>0</v>
      </c>
      <c r="N237" s="55">
        <f ca="1">$K$237-EFEITO!$M$237*EFEITO!$Z$237</f>
        <v>187.4773458938962</v>
      </c>
      <c r="O237" s="55">
        <f>$L$237-EFEITO!$O$237*EFEITO!$AA$237</f>
        <v>15.749644790165462</v>
      </c>
      <c r="P237" s="39"/>
      <c r="Q237" s="39"/>
      <c r="R237" s="39"/>
      <c r="S237" s="39"/>
      <c r="T237" s="39"/>
      <c r="U237" s="39"/>
      <c r="V237" s="39"/>
      <c r="W237" s="3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5" t="s">
        <v>21</v>
      </c>
      <c r="B238" s="35" t="s">
        <v>35</v>
      </c>
      <c r="C238" s="35" t="s">
        <v>36</v>
      </c>
      <c r="D238" s="35" t="s">
        <v>41</v>
      </c>
      <c r="E238" s="35" t="s">
        <v>25</v>
      </c>
      <c r="F238" s="35" t="s">
        <v>25</v>
      </c>
      <c r="G238" s="35" t="s">
        <v>25</v>
      </c>
      <c r="H238" s="35" t="s">
        <v>37</v>
      </c>
      <c r="I238" s="54">
        <v>44470</v>
      </c>
      <c r="J238" s="55">
        <f>EFEITO!$J$238*EFEITO!$Y$164</f>
        <v>0</v>
      </c>
      <c r="K238" s="55">
        <f ca="1">EFEITO!$L$238*EFEITO!$Z$164</f>
        <v>3343.8683662497278</v>
      </c>
      <c r="L238" s="55">
        <f>EFEITO!$N$238*EFEITO!$AA$164</f>
        <v>280.91254835296365</v>
      </c>
      <c r="M238" s="55">
        <f>$J$238-EFEITO!$K$238*EFEITO!$Y$238</f>
        <v>0</v>
      </c>
      <c r="N238" s="55">
        <f ca="1">$K$238-EFEITO!$M$238*EFEITO!$Z$238</f>
        <v>66.877367324994339</v>
      </c>
      <c r="O238" s="55">
        <f>$L$238-EFEITO!$O$238*EFEITO!$AA$238</f>
        <v>5.6182509670592253</v>
      </c>
      <c r="P238" s="39"/>
      <c r="Q238" s="39"/>
      <c r="R238" s="39"/>
      <c r="S238" s="39"/>
      <c r="T238" s="39"/>
      <c r="U238" s="39"/>
      <c r="V238" s="39"/>
      <c r="W238" s="3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5" t="s">
        <v>21</v>
      </c>
      <c r="B239" s="35" t="s">
        <v>35</v>
      </c>
      <c r="C239" s="35" t="s">
        <v>36</v>
      </c>
      <c r="D239" s="35" t="s">
        <v>41</v>
      </c>
      <c r="E239" s="35" t="s">
        <v>25</v>
      </c>
      <c r="F239" s="35" t="s">
        <v>25</v>
      </c>
      <c r="G239" s="35" t="s">
        <v>25</v>
      </c>
      <c r="H239" s="35" t="s">
        <v>37</v>
      </c>
      <c r="I239" s="54">
        <v>44501</v>
      </c>
      <c r="J239" s="55">
        <f>EFEITO!$J$239*EFEITO!$Y$164</f>
        <v>0</v>
      </c>
      <c r="K239" s="55">
        <f ca="1">EFEITO!$L$239*EFEITO!$Z$164</f>
        <v>3107.7007654650938</v>
      </c>
      <c r="L239" s="55">
        <f>EFEITO!$N$239*EFEITO!$AA$164</f>
        <v>261.07252018546063</v>
      </c>
      <c r="M239" s="55">
        <f>$J$239-EFEITO!$K$239*EFEITO!$Y$239</f>
        <v>0</v>
      </c>
      <c r="N239" s="55">
        <f ca="1">$K$239-EFEITO!$M$239*EFEITO!$Z$239</f>
        <v>62.15401530930194</v>
      </c>
      <c r="O239" s="55">
        <f>$L$239-EFEITO!$O$239*EFEITO!$AA$239</f>
        <v>5.2214504037092127</v>
      </c>
      <c r="P239" s="39"/>
      <c r="Q239" s="39"/>
      <c r="R239" s="39"/>
      <c r="S239" s="39"/>
      <c r="T239" s="39"/>
      <c r="U239" s="39"/>
      <c r="V239" s="39"/>
      <c r="W239" s="3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5" t="s">
        <v>21</v>
      </c>
      <c r="B240" s="35" t="s">
        <v>35</v>
      </c>
      <c r="C240" s="35" t="s">
        <v>36</v>
      </c>
      <c r="D240" s="35" t="s">
        <v>41</v>
      </c>
      <c r="E240" s="35" t="s">
        <v>25</v>
      </c>
      <c r="F240" s="35" t="s">
        <v>25</v>
      </c>
      <c r="G240" s="35" t="s">
        <v>25</v>
      </c>
      <c r="H240" s="35" t="s">
        <v>37</v>
      </c>
      <c r="I240" s="54">
        <v>44531</v>
      </c>
      <c r="J240" s="55">
        <f>EFEITO!$J$240*EFEITO!$Y$164</f>
        <v>0</v>
      </c>
      <c r="K240" s="55">
        <f ca="1">EFEITO!$L$240*EFEITO!$Z$164</f>
        <v>3056.935767165593</v>
      </c>
      <c r="L240" s="55">
        <f>EFEITO!$N$240*EFEITO!$AA$164</f>
        <v>256.80784123356744</v>
      </c>
      <c r="M240" s="55">
        <f>$J$240-EFEITO!$K$240*EFEITO!$Y$240</f>
        <v>0</v>
      </c>
      <c r="N240" s="55">
        <f ca="1">$K$240-EFEITO!$M$240*EFEITO!$Z$240</f>
        <v>61.138715343312015</v>
      </c>
      <c r="O240" s="55">
        <f>$L$240-EFEITO!$O$240*EFEITO!$AA$240</f>
        <v>5.1361568246713318</v>
      </c>
      <c r="P240" s="39"/>
      <c r="Q240" s="39"/>
      <c r="R240" s="39"/>
      <c r="S240" s="39"/>
      <c r="T240" s="39"/>
      <c r="U240" s="39"/>
      <c r="V240" s="39"/>
      <c r="W240" s="3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5" t="s">
        <v>21</v>
      </c>
      <c r="B241" s="35" t="s">
        <v>35</v>
      </c>
      <c r="C241" s="35" t="s">
        <v>36</v>
      </c>
      <c r="D241" s="35" t="s">
        <v>41</v>
      </c>
      <c r="E241" s="35" t="s">
        <v>25</v>
      </c>
      <c r="F241" s="35" t="s">
        <v>25</v>
      </c>
      <c r="G241" s="35" t="s">
        <v>25</v>
      </c>
      <c r="H241" s="35" t="s">
        <v>37</v>
      </c>
      <c r="I241" s="54">
        <v>44562</v>
      </c>
      <c r="J241" s="55">
        <f>EFEITO!$J$241*EFEITO!$Y$164</f>
        <v>0</v>
      </c>
      <c r="K241" s="55">
        <f ca="1">EFEITO!$L$241*EFEITO!$Z$164</f>
        <v>2743.5170820121534</v>
      </c>
      <c r="L241" s="55">
        <f>EFEITO!$N$241*EFEITO!$AA$164</f>
        <v>230.478084226227</v>
      </c>
      <c r="M241" s="55">
        <f>$J$241-EFEITO!$K$241*EFEITO!$Y$241</f>
        <v>0</v>
      </c>
      <c r="N241" s="55">
        <f ca="1">$K$241-EFEITO!$M$241*EFEITO!$Z$241</f>
        <v>54.870341640243169</v>
      </c>
      <c r="O241" s="55">
        <f>$L$241-EFEITO!$O$241*EFEITO!$AA$241</f>
        <v>4.6095616845245502</v>
      </c>
      <c r="P241" s="39"/>
      <c r="Q241" s="39"/>
      <c r="R241" s="39"/>
      <c r="S241" s="39"/>
      <c r="T241" s="39"/>
      <c r="U241" s="39"/>
      <c r="V241" s="39"/>
      <c r="W241" s="3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5" t="s">
        <v>21</v>
      </c>
      <c r="B242" s="35" t="s">
        <v>35</v>
      </c>
      <c r="C242" s="35" t="s">
        <v>36</v>
      </c>
      <c r="D242" s="35" t="s">
        <v>41</v>
      </c>
      <c r="E242" s="35" t="s">
        <v>25</v>
      </c>
      <c r="F242" s="35" t="s">
        <v>25</v>
      </c>
      <c r="G242" s="35" t="s">
        <v>25</v>
      </c>
      <c r="H242" s="35" t="s">
        <v>37</v>
      </c>
      <c r="I242" s="54">
        <v>44593</v>
      </c>
      <c r="J242" s="55">
        <f>EFEITO!$J$242*EFEITO!$Y$164</f>
        <v>0</v>
      </c>
      <c r="K242" s="55">
        <f ca="1">EFEITO!$L$242*EFEITO!$Z$164</f>
        <v>2641.9870854131518</v>
      </c>
      <c r="L242" s="55">
        <f>EFEITO!$N$242*EFEITO!$AA$164</f>
        <v>221.94872632244062</v>
      </c>
      <c r="M242" s="55">
        <f>$J$242-EFEITO!$K$242*EFEITO!$Y$242</f>
        <v>0</v>
      </c>
      <c r="N242" s="55">
        <f ca="1">$K$242-EFEITO!$M$242*EFEITO!$Z$242</f>
        <v>52.839741708263318</v>
      </c>
      <c r="O242" s="55">
        <f>$L$242-EFEITO!$O$242*EFEITO!$AA$242</f>
        <v>4.4389745264487885</v>
      </c>
      <c r="P242" s="39"/>
      <c r="Q242" s="39"/>
      <c r="R242" s="39"/>
      <c r="S242" s="39"/>
      <c r="T242" s="39"/>
      <c r="U242" s="39"/>
      <c r="V242" s="39"/>
      <c r="W242" s="3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5" t="s">
        <v>21</v>
      </c>
      <c r="B243" s="35" t="s">
        <v>35</v>
      </c>
      <c r="C243" s="35" t="s">
        <v>36</v>
      </c>
      <c r="D243" s="35" t="s">
        <v>41</v>
      </c>
      <c r="E243" s="35" t="s">
        <v>25</v>
      </c>
      <c r="F243" s="35" t="s">
        <v>25</v>
      </c>
      <c r="G243" s="35" t="s">
        <v>25</v>
      </c>
      <c r="H243" s="35" t="s">
        <v>37</v>
      </c>
      <c r="I243" s="54">
        <v>44621</v>
      </c>
      <c r="J243" s="55">
        <f>EFEITO!$J$243*EFEITO!$Y$164</f>
        <v>0</v>
      </c>
      <c r="K243" s="55">
        <f ca="1">EFEITO!$L$243*EFEITO!$Z$164</f>
        <v>3304.1392371457714</v>
      </c>
      <c r="L243" s="55">
        <f>EFEITO!$N$243*EFEITO!$AA$164</f>
        <v>277.5749735210473</v>
      </c>
      <c r="M243" s="55">
        <f>$J$243-EFEITO!$K$243*EFEITO!$Y$243</f>
        <v>0</v>
      </c>
      <c r="N243" s="55">
        <f ca="1">$K$243-EFEITO!$M$243*EFEITO!$Z$243</f>
        <v>66.082784742915464</v>
      </c>
      <c r="O243" s="55">
        <f>$L$243-EFEITO!$O$243*EFEITO!$AA$243</f>
        <v>5.5514994704209357</v>
      </c>
      <c r="P243" s="39"/>
      <c r="Q243" s="39"/>
      <c r="R243" s="39"/>
      <c r="S243" s="39"/>
      <c r="T243" s="39"/>
      <c r="U243" s="39"/>
      <c r="V243" s="39"/>
      <c r="W243" s="3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5" t="s">
        <v>21</v>
      </c>
      <c r="B244" s="35" t="s">
        <v>35</v>
      </c>
      <c r="C244" s="35" t="s">
        <v>36</v>
      </c>
      <c r="D244" s="35" t="s">
        <v>41</v>
      </c>
      <c r="E244" s="35" t="s">
        <v>25</v>
      </c>
      <c r="F244" s="35" t="s">
        <v>25</v>
      </c>
      <c r="G244" s="35" t="s">
        <v>25</v>
      </c>
      <c r="H244" s="35" t="s">
        <v>37</v>
      </c>
      <c r="I244" s="54">
        <v>44652</v>
      </c>
      <c r="J244" s="55">
        <f>EFEITO!$J$244*EFEITO!$Y$164</f>
        <v>0</v>
      </c>
      <c r="K244" s="55">
        <f ca="1">EFEITO!$L$244*EFEITO!$Z$164</f>
        <v>2761.174472725023</v>
      </c>
      <c r="L244" s="55">
        <f>EFEITO!$N$244*EFEITO!$AA$164</f>
        <v>231.96145081818977</v>
      </c>
      <c r="M244" s="55">
        <f>$J$244-EFEITO!$K$244*EFEITO!$Y$244</f>
        <v>0</v>
      </c>
      <c r="N244" s="55">
        <f ca="1">$K$244-EFEITO!$M$244*EFEITO!$Z$244</f>
        <v>55.22348945450085</v>
      </c>
      <c r="O244" s="55">
        <f>$L$244-EFEITO!$O$244*EFEITO!$AA$244</f>
        <v>4.6392290163637711</v>
      </c>
      <c r="P244" s="39"/>
      <c r="Q244" s="39"/>
      <c r="R244" s="39"/>
      <c r="S244" s="39"/>
      <c r="T244" s="39"/>
      <c r="U244" s="39"/>
      <c r="V244" s="39"/>
      <c r="W244" s="3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5" t="s">
        <v>21</v>
      </c>
      <c r="B245" s="35" t="s">
        <v>35</v>
      </c>
      <c r="C245" s="35" t="s">
        <v>36</v>
      </c>
      <c r="D245" s="35" t="s">
        <v>41</v>
      </c>
      <c r="E245" s="35" t="s">
        <v>25</v>
      </c>
      <c r="F245" s="35" t="s">
        <v>25</v>
      </c>
      <c r="G245" s="35" t="s">
        <v>25</v>
      </c>
      <c r="H245" s="35" t="s">
        <v>37</v>
      </c>
      <c r="I245" s="54">
        <v>44682</v>
      </c>
      <c r="J245" s="55">
        <f>EFEITO!$J$245*EFEITO!$Y$164</f>
        <v>0</v>
      </c>
      <c r="K245" s="55">
        <f ca="1">EFEITO!$L$245*EFEITO!$Z$164</f>
        <v>14916.080804696807</v>
      </c>
      <c r="L245" s="55">
        <f>EFEITO!$N$245*EFEITO!$AA$164</f>
        <v>1253.0739285606128</v>
      </c>
      <c r="M245" s="55">
        <f>$J$245-EFEITO!$K$245*EFEITO!$Y$245</f>
        <v>0</v>
      </c>
      <c r="N245" s="55">
        <f ca="1">$K$245-EFEITO!$M$245*EFEITO!$Z$245</f>
        <v>298.32161609393552</v>
      </c>
      <c r="O245" s="55">
        <f>$L$245-EFEITO!$O$245*EFEITO!$AA$245</f>
        <v>25.061478571212092</v>
      </c>
      <c r="P245" s="39"/>
      <c r="Q245" s="39"/>
      <c r="R245" s="39"/>
      <c r="S245" s="39"/>
      <c r="T245" s="39"/>
      <c r="U245" s="39"/>
      <c r="V245" s="39"/>
      <c r="W245" s="3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5" t="s">
        <v>21</v>
      </c>
      <c r="B246" s="35" t="s">
        <v>35</v>
      </c>
      <c r="C246" s="35" t="s">
        <v>36</v>
      </c>
      <c r="D246" s="35" t="s">
        <v>41</v>
      </c>
      <c r="E246" s="35" t="s">
        <v>25</v>
      </c>
      <c r="F246" s="35" t="s">
        <v>25</v>
      </c>
      <c r="G246" s="35" t="s">
        <v>25</v>
      </c>
      <c r="H246" s="35" t="s">
        <v>37</v>
      </c>
      <c r="I246" s="54">
        <v>44713</v>
      </c>
      <c r="J246" s="55">
        <f>EFEITO!$J$246*EFEITO!$Y$164</f>
        <v>0</v>
      </c>
      <c r="K246" s="55">
        <f ca="1">EFEITO!$L$246*EFEITO!$Z$164</f>
        <v>18485.080902535625</v>
      </c>
      <c r="L246" s="55">
        <f>EFEITO!$N$246*EFEITO!$AA$164</f>
        <v>1552.8994009611029</v>
      </c>
      <c r="M246" s="55">
        <f>$J$246-EFEITO!$K$246*EFEITO!$Y$246</f>
        <v>0</v>
      </c>
      <c r="N246" s="55">
        <f ca="1">$K$246-EFEITO!$M$246*EFEITO!$Z$246</f>
        <v>369.70161805071257</v>
      </c>
      <c r="O246" s="55">
        <f>$L$246-EFEITO!$O$246*EFEITO!$AA$246</f>
        <v>31.057988019221966</v>
      </c>
      <c r="P246" s="39"/>
      <c r="Q246" s="39"/>
      <c r="R246" s="39"/>
      <c r="S246" s="39"/>
      <c r="T246" s="39"/>
      <c r="U246" s="39"/>
      <c r="V246" s="39"/>
      <c r="W246" s="3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5" t="s">
        <v>21</v>
      </c>
      <c r="B247" s="35" t="s">
        <v>35</v>
      </c>
      <c r="C247" s="35" t="s">
        <v>36</v>
      </c>
      <c r="D247" s="35" t="s">
        <v>41</v>
      </c>
      <c r="E247" s="35" t="s">
        <v>25</v>
      </c>
      <c r="F247" s="35" t="s">
        <v>25</v>
      </c>
      <c r="G247" s="35" t="s">
        <v>25</v>
      </c>
      <c r="H247" s="35" t="s">
        <v>37</v>
      </c>
      <c r="I247" s="54">
        <v>44743</v>
      </c>
      <c r="J247" s="55">
        <f>EFEITO!$J$247*EFEITO!$Y$164</f>
        <v>0</v>
      </c>
      <c r="K247" s="55">
        <f ca="1">EFEITO!$L$247*EFEITO!$Z$164</f>
        <v>13417.409767941977</v>
      </c>
      <c r="L247" s="55">
        <f>EFEITO!$N$247*EFEITO!$AA$164</f>
        <v>1127.1731890677663</v>
      </c>
      <c r="M247" s="55">
        <f>$J$247-EFEITO!$K$247*EFEITO!$Y$247</f>
        <v>0</v>
      </c>
      <c r="N247" s="55">
        <f ca="1">$K$247-EFEITO!$M$247*EFEITO!$Z$247</f>
        <v>268.3481953588398</v>
      </c>
      <c r="O247" s="55">
        <f>$L$247-EFEITO!$O$247*EFEITO!$AA$247</f>
        <v>22.543463781355058</v>
      </c>
      <c r="P247" s="39"/>
      <c r="Q247" s="39"/>
      <c r="R247" s="39"/>
      <c r="S247" s="39"/>
      <c r="T247" s="39"/>
      <c r="U247" s="39"/>
      <c r="V247" s="39"/>
      <c r="W247" s="3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5" t="s">
        <v>21</v>
      </c>
      <c r="B248" s="35" t="s">
        <v>35</v>
      </c>
      <c r="C248" s="35" t="s">
        <v>36</v>
      </c>
      <c r="D248" s="35" t="s">
        <v>41</v>
      </c>
      <c r="E248" s="35" t="s">
        <v>25</v>
      </c>
      <c r="F248" s="35" t="s">
        <v>25</v>
      </c>
      <c r="G248" s="35" t="s">
        <v>25</v>
      </c>
      <c r="H248" s="35" t="s">
        <v>37</v>
      </c>
      <c r="I248" s="54">
        <v>44774</v>
      </c>
      <c r="J248" s="55">
        <f>EFEITO!$J$248*EFEITO!$Y$164</f>
        <v>0</v>
      </c>
      <c r="K248" s="55">
        <f ca="1">EFEITO!$L$248*EFEITO!$Z$164</f>
        <v>16112.369025493739</v>
      </c>
      <c r="L248" s="55">
        <f>EFEITO!$N$248*EFEITO!$AA$164</f>
        <v>1353.5720151660955</v>
      </c>
      <c r="M248" s="55">
        <f>$J$248-EFEITO!$K$248*EFEITO!$Y$248</f>
        <v>0</v>
      </c>
      <c r="N248" s="55">
        <f ca="1">$K$248-EFEITO!$M$248*EFEITO!$Z$248</f>
        <v>322.24738050987435</v>
      </c>
      <c r="O248" s="55">
        <f>$L$248-EFEITO!$O$248*EFEITO!$AA$248</f>
        <v>27.071440303321879</v>
      </c>
      <c r="P248" s="39"/>
      <c r="Q248" s="39"/>
      <c r="R248" s="39"/>
      <c r="S248" s="39"/>
      <c r="T248" s="39"/>
      <c r="U248" s="39"/>
      <c r="V248" s="39"/>
      <c r="W248" s="3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5" t="s">
        <v>21</v>
      </c>
      <c r="B249" s="35" t="s">
        <v>22</v>
      </c>
      <c r="C249" s="35" t="s">
        <v>23</v>
      </c>
      <c r="D249" s="35" t="s">
        <v>24</v>
      </c>
      <c r="E249" s="35" t="s">
        <v>24</v>
      </c>
      <c r="F249" s="35" t="s">
        <v>25</v>
      </c>
      <c r="G249" s="35" t="s">
        <v>25</v>
      </c>
      <c r="H249" s="35" t="s">
        <v>25</v>
      </c>
      <c r="I249" s="54">
        <v>44440</v>
      </c>
      <c r="J249" s="55">
        <f>EFEITO!$J$249*EFEITO!$Y$249</f>
        <v>0</v>
      </c>
      <c r="K249" s="55">
        <f ca="1">EFEITO!$L$249*EFEITO!$Z$249</f>
        <v>238292.65668434216</v>
      </c>
      <c r="L249" s="55">
        <f>EFEITO!$N$249*EFEITO!$AA$249</f>
        <v>100969.24091925492</v>
      </c>
      <c r="M249" s="55">
        <f>$J$249-EFEITO!$K$249*EFEITO!$Y$249</f>
        <v>0</v>
      </c>
      <c r="N249" s="55">
        <f ca="1">$K$249-EFEITO!$M$249*EFEITO!$Z$249</f>
        <v>0</v>
      </c>
      <c r="O249" s="55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5" t="s">
        <v>27</v>
      </c>
      <c r="B250" s="35" t="s">
        <v>22</v>
      </c>
      <c r="C250" s="35" t="s">
        <v>23</v>
      </c>
      <c r="D250" s="35" t="s">
        <v>24</v>
      </c>
      <c r="E250" s="35" t="s">
        <v>24</v>
      </c>
      <c r="F250" s="35" t="s">
        <v>25</v>
      </c>
      <c r="G250" s="35" t="s">
        <v>25</v>
      </c>
      <c r="H250" s="35" t="s">
        <v>25</v>
      </c>
      <c r="I250" s="54">
        <v>44440</v>
      </c>
      <c r="J250" s="55">
        <f>EFEITO!$J$250*EFEITO!$Y$250</f>
        <v>0</v>
      </c>
      <c r="K250" s="55">
        <f ca="1">EFEITO!$L$250*EFEITO!$Z$250</f>
        <v>-77.455692469673636</v>
      </c>
      <c r="L250" s="55">
        <f>EFEITO!$N$250*EFEITO!$AA$250</f>
        <v>-32.81948584717793</v>
      </c>
      <c r="M250" s="55">
        <f>$J$250-EFEITO!$K$250*EFEITO!$Y$250</f>
        <v>0</v>
      </c>
      <c r="N250" s="55">
        <f ca="1">$K$250-EFEITO!$M$250*EFEITO!$Z$250</f>
        <v>0</v>
      </c>
      <c r="O250" s="55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5" t="s">
        <v>28</v>
      </c>
      <c r="B251" s="35" t="s">
        <v>22</v>
      </c>
      <c r="C251" s="35" t="s">
        <v>23</v>
      </c>
      <c r="D251" s="35" t="s">
        <v>24</v>
      </c>
      <c r="E251" s="35" t="s">
        <v>24</v>
      </c>
      <c r="F251" s="35" t="s">
        <v>25</v>
      </c>
      <c r="G251" s="35" t="s">
        <v>25</v>
      </c>
      <c r="H251" s="35" t="s">
        <v>25</v>
      </c>
      <c r="I251" s="54">
        <v>44440</v>
      </c>
      <c r="J251" s="55">
        <f>EFEITO!$J$251*EFEITO!$Y$251</f>
        <v>0</v>
      </c>
      <c r="K251" s="55">
        <f ca="1">EFEITO!$L$251*EFEITO!$Z$251</f>
        <v>655.96657068949605</v>
      </c>
      <c r="L251" s="55">
        <f>EFEITO!$N$251*EFEITO!$AA$251</f>
        <v>277.94581516903799</v>
      </c>
      <c r="M251" s="55">
        <f>$J$251-EFEITO!$K$251*EFEITO!$Y$251</f>
        <v>0</v>
      </c>
      <c r="N251" s="55">
        <f ca="1">$K$251-EFEITO!$M$251*EFEITO!$Z$251</f>
        <v>0</v>
      </c>
      <c r="O251" s="55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5" t="s">
        <v>21</v>
      </c>
      <c r="B252" s="35" t="s">
        <v>22</v>
      </c>
      <c r="C252" s="35" t="s">
        <v>23</v>
      </c>
      <c r="D252" s="35" t="s">
        <v>24</v>
      </c>
      <c r="E252" s="35" t="s">
        <v>24</v>
      </c>
      <c r="F252" s="35" t="s">
        <v>25</v>
      </c>
      <c r="G252" s="35" t="s">
        <v>25</v>
      </c>
      <c r="H252" s="35" t="s">
        <v>25</v>
      </c>
      <c r="I252" s="54">
        <v>44470</v>
      </c>
      <c r="J252" s="55">
        <f>EFEITO!$J$252*EFEITO!$Y$252</f>
        <v>0</v>
      </c>
      <c r="K252" s="55">
        <f ca="1">EFEITO!$L$252*EFEITO!$Z$252</f>
        <v>250868.04783971509</v>
      </c>
      <c r="L252" s="55">
        <f>EFEITO!$N$252*EFEITO!$AA$252</f>
        <v>106297.67913840945</v>
      </c>
      <c r="M252" s="55">
        <f>$J$252-EFEITO!$K$252*EFEITO!$Y$252</f>
        <v>0</v>
      </c>
      <c r="N252" s="55">
        <f ca="1">$K$252-EFEITO!$M$252*EFEITO!$Z$252</f>
        <v>0</v>
      </c>
      <c r="O252" s="55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5" t="s">
        <v>27</v>
      </c>
      <c r="B253" s="35" t="s">
        <v>22</v>
      </c>
      <c r="C253" s="35" t="s">
        <v>23</v>
      </c>
      <c r="D253" s="35" t="s">
        <v>24</v>
      </c>
      <c r="E253" s="35" t="s">
        <v>24</v>
      </c>
      <c r="F253" s="35" t="s">
        <v>25</v>
      </c>
      <c r="G253" s="35" t="s">
        <v>25</v>
      </c>
      <c r="H253" s="35" t="s">
        <v>25</v>
      </c>
      <c r="I253" s="54">
        <v>44470</v>
      </c>
      <c r="J253" s="55">
        <f>EFEITO!$J$253*EFEITO!$Y$253</f>
        <v>0</v>
      </c>
      <c r="K253" s="55">
        <f ca="1">EFEITO!$L$253*EFEITO!$Z$253</f>
        <v>-183.79316857210696</v>
      </c>
      <c r="L253" s="55">
        <f>EFEITO!$N$253*EFEITO!$AA$253</f>
        <v>-77.876746078049337</v>
      </c>
      <c r="M253" s="55">
        <f>$J$253-EFEITO!$K$253*EFEITO!$Y$253</f>
        <v>0</v>
      </c>
      <c r="N253" s="55">
        <f ca="1">$K$253-EFEITO!$M$253*EFEITO!$Z$253</f>
        <v>0</v>
      </c>
      <c r="O253" s="55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5" t="s">
        <v>28</v>
      </c>
      <c r="B254" s="35" t="s">
        <v>22</v>
      </c>
      <c r="C254" s="35" t="s">
        <v>23</v>
      </c>
      <c r="D254" s="35" t="s">
        <v>24</v>
      </c>
      <c r="E254" s="35" t="s">
        <v>24</v>
      </c>
      <c r="F254" s="35" t="s">
        <v>25</v>
      </c>
      <c r="G254" s="35" t="s">
        <v>25</v>
      </c>
      <c r="H254" s="35" t="s">
        <v>25</v>
      </c>
      <c r="I254" s="54">
        <v>44470</v>
      </c>
      <c r="J254" s="55">
        <f>EFEITO!$J$254*EFEITO!$Y$254</f>
        <v>0</v>
      </c>
      <c r="K254" s="55">
        <f ca="1">EFEITO!$L$254*EFEITO!$Z$254</f>
        <v>876.95597575833892</v>
      </c>
      <c r="L254" s="55">
        <f>EFEITO!$N$254*EFEITO!$AA$254</f>
        <v>371.58333128669256</v>
      </c>
      <c r="M254" s="55">
        <f>$J$254-EFEITO!$K$254*EFEITO!$Y$254</f>
        <v>0</v>
      </c>
      <c r="N254" s="55">
        <f ca="1">$K$254-EFEITO!$M$254*EFEITO!$Z$254</f>
        <v>0</v>
      </c>
      <c r="O254" s="55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5" t="s">
        <v>21</v>
      </c>
      <c r="B255" s="35" t="s">
        <v>22</v>
      </c>
      <c r="C255" s="35" t="s">
        <v>23</v>
      </c>
      <c r="D255" s="35" t="s">
        <v>24</v>
      </c>
      <c r="E255" s="35" t="s">
        <v>24</v>
      </c>
      <c r="F255" s="35" t="s">
        <v>25</v>
      </c>
      <c r="G255" s="35" t="s">
        <v>25</v>
      </c>
      <c r="H255" s="35" t="s">
        <v>25</v>
      </c>
      <c r="I255" s="54">
        <v>44501</v>
      </c>
      <c r="J255" s="55">
        <f>EFEITO!$J$255*EFEITO!$Y$255</f>
        <v>0</v>
      </c>
      <c r="K255" s="55">
        <f ca="1">EFEITO!$L$255*EFEITO!$Z$255</f>
        <v>247775.94657988052</v>
      </c>
      <c r="L255" s="55">
        <f>EFEITO!$N$255*EFEITO!$AA$255</f>
        <v>104987.49559605826</v>
      </c>
      <c r="M255" s="55">
        <f>$J$255-EFEITO!$K$255*EFEITO!$Y$255</f>
        <v>0</v>
      </c>
      <c r="N255" s="55">
        <f ca="1">$K$255-EFEITO!$M$255*EFEITO!$Z$255</f>
        <v>0</v>
      </c>
      <c r="O255" s="55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5" t="s">
        <v>27</v>
      </c>
      <c r="B256" s="35" t="s">
        <v>22</v>
      </c>
      <c r="C256" s="35" t="s">
        <v>23</v>
      </c>
      <c r="D256" s="35" t="s">
        <v>24</v>
      </c>
      <c r="E256" s="35" t="s">
        <v>24</v>
      </c>
      <c r="F256" s="35" t="s">
        <v>25</v>
      </c>
      <c r="G256" s="35" t="s">
        <v>25</v>
      </c>
      <c r="H256" s="35" t="s">
        <v>25</v>
      </c>
      <c r="I256" s="54">
        <v>44501</v>
      </c>
      <c r="J256" s="55">
        <f>EFEITO!$J$256*EFEITO!$Y$256</f>
        <v>0</v>
      </c>
      <c r="K256" s="55">
        <f ca="1">EFEITO!$L$256*EFEITO!$Z$256</f>
        <v>-4.8136306054599443</v>
      </c>
      <c r="L256" s="55">
        <f>EFEITO!$N$256*EFEITO!$AA$256</f>
        <v>-2.0396290639489112</v>
      </c>
      <c r="M256" s="55">
        <f>$J$256-EFEITO!$K$256*EFEITO!$Y$256</f>
        <v>0</v>
      </c>
      <c r="N256" s="55">
        <f ca="1">$K$256-EFEITO!$M$256*EFEITO!$Z$256</f>
        <v>0</v>
      </c>
      <c r="O256" s="55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5" t="s">
        <v>28</v>
      </c>
      <c r="B257" s="35" t="s">
        <v>22</v>
      </c>
      <c r="C257" s="35" t="s">
        <v>23</v>
      </c>
      <c r="D257" s="35" t="s">
        <v>24</v>
      </c>
      <c r="E257" s="35" t="s">
        <v>24</v>
      </c>
      <c r="F257" s="35" t="s">
        <v>25</v>
      </c>
      <c r="G257" s="35" t="s">
        <v>25</v>
      </c>
      <c r="H257" s="35" t="s">
        <v>25</v>
      </c>
      <c r="I257" s="54">
        <v>44501</v>
      </c>
      <c r="J257" s="55">
        <f>EFEITO!$J$257*EFEITO!$Y$257</f>
        <v>0</v>
      </c>
      <c r="K257" s="55">
        <f ca="1">EFEITO!$L$257*EFEITO!$Z$257</f>
        <v>561.00676692724073</v>
      </c>
      <c r="L257" s="55">
        <f>EFEITO!$N$257*EFEITO!$AA$257</f>
        <v>237.70949636204583</v>
      </c>
      <c r="M257" s="55">
        <f>$J$257-EFEITO!$K$257*EFEITO!$Y$257</f>
        <v>0</v>
      </c>
      <c r="N257" s="55">
        <f ca="1">$K$257-EFEITO!$M$257*EFEITO!$Z$257</f>
        <v>0</v>
      </c>
      <c r="O257" s="55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5" t="s">
        <v>21</v>
      </c>
      <c r="B258" s="35" t="s">
        <v>22</v>
      </c>
      <c r="C258" s="35" t="s">
        <v>23</v>
      </c>
      <c r="D258" s="35" t="s">
        <v>24</v>
      </c>
      <c r="E258" s="35" t="s">
        <v>24</v>
      </c>
      <c r="F258" s="35" t="s">
        <v>25</v>
      </c>
      <c r="G258" s="35" t="s">
        <v>25</v>
      </c>
      <c r="H258" s="35" t="s">
        <v>25</v>
      </c>
      <c r="I258" s="54">
        <v>44531</v>
      </c>
      <c r="J258" s="55">
        <f>EFEITO!$J$258*EFEITO!$Y$258</f>
        <v>0</v>
      </c>
      <c r="K258" s="55">
        <f ca="1">EFEITO!$L$258*EFEITO!$Z$258</f>
        <v>249171.46185268159</v>
      </c>
      <c r="L258" s="55">
        <f>EFEITO!$N$258*EFEITO!$AA$258</f>
        <v>105578.80260377945</v>
      </c>
      <c r="M258" s="55">
        <f>$J$258-EFEITO!$K$258*EFEITO!$Y$258</f>
        <v>0</v>
      </c>
      <c r="N258" s="55">
        <f ca="1">$K$258-EFEITO!$M$258*EFEITO!$Z$258</f>
        <v>0</v>
      </c>
      <c r="O258" s="55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5" t="s">
        <v>28</v>
      </c>
      <c r="B259" s="35" t="s">
        <v>22</v>
      </c>
      <c r="C259" s="35" t="s">
        <v>23</v>
      </c>
      <c r="D259" s="35" t="s">
        <v>24</v>
      </c>
      <c r="E259" s="35" t="s">
        <v>24</v>
      </c>
      <c r="F259" s="35" t="s">
        <v>25</v>
      </c>
      <c r="G259" s="35" t="s">
        <v>25</v>
      </c>
      <c r="H259" s="35" t="s">
        <v>25</v>
      </c>
      <c r="I259" s="54">
        <v>44531</v>
      </c>
      <c r="J259" s="55">
        <f>EFEITO!$J$259*EFEITO!$Y$259</f>
        <v>0</v>
      </c>
      <c r="K259" s="55">
        <f ca="1">EFEITO!$L$259*EFEITO!$Z$259</f>
        <v>798.62507772403615</v>
      </c>
      <c r="L259" s="55">
        <f>EFEITO!$N$259*EFEITO!$AA$259</f>
        <v>338.39300379152388</v>
      </c>
      <c r="M259" s="55">
        <f>$J$259-EFEITO!$K$259*EFEITO!$Y$259</f>
        <v>0</v>
      </c>
      <c r="N259" s="55">
        <f ca="1">$K$259-EFEITO!$M$259*EFEITO!$Z$259</f>
        <v>0</v>
      </c>
      <c r="O259" s="55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5" t="s">
        <v>21</v>
      </c>
      <c r="B260" s="35" t="s">
        <v>22</v>
      </c>
      <c r="C260" s="35" t="s">
        <v>23</v>
      </c>
      <c r="D260" s="35" t="s">
        <v>24</v>
      </c>
      <c r="E260" s="35" t="s">
        <v>24</v>
      </c>
      <c r="F260" s="35" t="s">
        <v>25</v>
      </c>
      <c r="G260" s="35" t="s">
        <v>25</v>
      </c>
      <c r="H260" s="35" t="s">
        <v>25</v>
      </c>
      <c r="I260" s="54">
        <v>44562</v>
      </c>
      <c r="J260" s="55">
        <f>EFEITO!$J$260*EFEITO!$Y$260</f>
        <v>0</v>
      </c>
      <c r="K260" s="55">
        <f ca="1">EFEITO!$L$260*EFEITO!$Z$260</f>
        <v>258623.24434789337</v>
      </c>
      <c r="L260" s="55">
        <f>EFEITO!$N$260*EFEITO!$AA$260</f>
        <v>109583.70698125513</v>
      </c>
      <c r="M260" s="55">
        <f>$J$260-EFEITO!$K$260*EFEITO!$Y$260</f>
        <v>0</v>
      </c>
      <c r="N260" s="55">
        <f ca="1">$K$260-EFEITO!$M$260*EFEITO!$Z$260</f>
        <v>0</v>
      </c>
      <c r="O260" s="55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5" t="s">
        <v>27</v>
      </c>
      <c r="B261" s="35" t="s">
        <v>22</v>
      </c>
      <c r="C261" s="35" t="s">
        <v>23</v>
      </c>
      <c r="D261" s="35" t="s">
        <v>24</v>
      </c>
      <c r="E261" s="35" t="s">
        <v>24</v>
      </c>
      <c r="F261" s="35" t="s">
        <v>25</v>
      </c>
      <c r="G261" s="35" t="s">
        <v>25</v>
      </c>
      <c r="H261" s="35" t="s">
        <v>25</v>
      </c>
      <c r="I261" s="54">
        <v>44562</v>
      </c>
      <c r="J261" s="55">
        <f>EFEITO!$J$261*EFEITO!$Y$261</f>
        <v>0</v>
      </c>
      <c r="K261" s="55">
        <f ca="1">EFEITO!$L$261*EFEITO!$Z$261</f>
        <v>-358.83428149792309</v>
      </c>
      <c r="L261" s="55">
        <f>EFEITO!$N$261*EFEITO!$AA$261</f>
        <v>-152.04507567619154</v>
      </c>
      <c r="M261" s="55">
        <f>$J$261-EFEITO!$K$261*EFEITO!$Y$261</f>
        <v>0</v>
      </c>
      <c r="N261" s="55">
        <f ca="1">$K$261-EFEITO!$M$261*EFEITO!$Z$261</f>
        <v>0</v>
      </c>
      <c r="O261" s="55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5" t="s">
        <v>28</v>
      </c>
      <c r="B262" s="35" t="s">
        <v>22</v>
      </c>
      <c r="C262" s="35" t="s">
        <v>23</v>
      </c>
      <c r="D262" s="35" t="s">
        <v>24</v>
      </c>
      <c r="E262" s="35" t="s">
        <v>24</v>
      </c>
      <c r="F262" s="35" t="s">
        <v>25</v>
      </c>
      <c r="G262" s="35" t="s">
        <v>25</v>
      </c>
      <c r="H262" s="35" t="s">
        <v>25</v>
      </c>
      <c r="I262" s="54">
        <v>44562</v>
      </c>
      <c r="J262" s="55">
        <f>EFEITO!$J$262*EFEITO!$Y$262</f>
        <v>0</v>
      </c>
      <c r="K262" s="55">
        <f ca="1">EFEITO!$L$262*EFEITO!$Z$262</f>
        <v>962.72612109198894</v>
      </c>
      <c r="L262" s="55">
        <f>EFEITO!$N$262*EFEITO!$AA$262</f>
        <v>407.92581278978224</v>
      </c>
      <c r="M262" s="55">
        <f>$J$262-EFEITO!$K$262*EFEITO!$Y$262</f>
        <v>0</v>
      </c>
      <c r="N262" s="55">
        <f ca="1">$K$262-EFEITO!$M$262*EFEITO!$Z$262</f>
        <v>0</v>
      </c>
      <c r="O262" s="55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5" t="s">
        <v>21</v>
      </c>
      <c r="B263" s="35" t="s">
        <v>22</v>
      </c>
      <c r="C263" s="35" t="s">
        <v>23</v>
      </c>
      <c r="D263" s="35" t="s">
        <v>24</v>
      </c>
      <c r="E263" s="35" t="s">
        <v>24</v>
      </c>
      <c r="F263" s="35" t="s">
        <v>25</v>
      </c>
      <c r="G263" s="35" t="s">
        <v>25</v>
      </c>
      <c r="H263" s="35" t="s">
        <v>25</v>
      </c>
      <c r="I263" s="54">
        <v>44593</v>
      </c>
      <c r="J263" s="55">
        <f>EFEITO!$J$263*EFEITO!$Y$263</f>
        <v>0</v>
      </c>
      <c r="K263" s="55">
        <f ca="1">EFEITO!$L$263*EFEITO!$Z$263</f>
        <v>256925.34555251294</v>
      </c>
      <c r="L263" s="55">
        <f>EFEITO!$N$263*EFEITO!$AA$263</f>
        <v>108864.27418415315</v>
      </c>
      <c r="M263" s="55">
        <f>$J$263-EFEITO!$K$263*EFEITO!$Y$263</f>
        <v>0</v>
      </c>
      <c r="N263" s="55">
        <f ca="1">$K$263-EFEITO!$M$263*EFEITO!$Z$263</f>
        <v>0</v>
      </c>
      <c r="O263" s="55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5" t="s">
        <v>27</v>
      </c>
      <c r="B264" s="35" t="s">
        <v>22</v>
      </c>
      <c r="C264" s="35" t="s">
        <v>23</v>
      </c>
      <c r="D264" s="35" t="s">
        <v>24</v>
      </c>
      <c r="E264" s="35" t="s">
        <v>24</v>
      </c>
      <c r="F264" s="35" t="s">
        <v>25</v>
      </c>
      <c r="G264" s="35" t="s">
        <v>25</v>
      </c>
      <c r="H264" s="35" t="s">
        <v>25</v>
      </c>
      <c r="I264" s="54">
        <v>44593</v>
      </c>
      <c r="J264" s="55">
        <f>EFEITO!$J$264*EFEITO!$Y$264</f>
        <v>0</v>
      </c>
      <c r="K264" s="55">
        <f ca="1">EFEITO!$L$264*EFEITO!$Z$264</f>
        <v>-41.572264319881334</v>
      </c>
      <c r="L264" s="55">
        <f>EFEITO!$N$264*EFEITO!$AA$264</f>
        <v>-17.614978279558777</v>
      </c>
      <c r="M264" s="55">
        <f>$J$264-EFEITO!$K$264*EFEITO!$Y$264</f>
        <v>0</v>
      </c>
      <c r="N264" s="55">
        <f ca="1">$K$264-EFEITO!$M$264*EFEITO!$Z$264</f>
        <v>0</v>
      </c>
      <c r="O264" s="55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5" t="s">
        <v>28</v>
      </c>
      <c r="B265" s="35" t="s">
        <v>22</v>
      </c>
      <c r="C265" s="35" t="s">
        <v>23</v>
      </c>
      <c r="D265" s="35" t="s">
        <v>24</v>
      </c>
      <c r="E265" s="35" t="s">
        <v>24</v>
      </c>
      <c r="F265" s="35" t="s">
        <v>25</v>
      </c>
      <c r="G265" s="35" t="s">
        <v>25</v>
      </c>
      <c r="H265" s="35" t="s">
        <v>25</v>
      </c>
      <c r="I265" s="54">
        <v>44593</v>
      </c>
      <c r="J265" s="55">
        <f>EFEITO!$J$265*EFEITO!$Y$265</f>
        <v>0</v>
      </c>
      <c r="K265" s="55">
        <f ca="1">EFEITO!$L$265*EFEITO!$Z$265</f>
        <v>1249.3559435080128</v>
      </c>
      <c r="L265" s="55">
        <f>EFEITO!$N$265*EFEITO!$AA$265</f>
        <v>529.37645250674018</v>
      </c>
      <c r="M265" s="55">
        <f>$J$265-EFEITO!$K$265*EFEITO!$Y$265</f>
        <v>0</v>
      </c>
      <c r="N265" s="55">
        <f ca="1">$K$265-EFEITO!$M$265*EFEITO!$Z$265</f>
        <v>0</v>
      </c>
      <c r="O265" s="55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5" t="s">
        <v>21</v>
      </c>
      <c r="B266" s="35" t="s">
        <v>22</v>
      </c>
      <c r="C266" s="35" t="s">
        <v>23</v>
      </c>
      <c r="D266" s="35" t="s">
        <v>24</v>
      </c>
      <c r="E266" s="35" t="s">
        <v>24</v>
      </c>
      <c r="F266" s="35" t="s">
        <v>25</v>
      </c>
      <c r="G266" s="35" t="s">
        <v>25</v>
      </c>
      <c r="H266" s="35" t="s">
        <v>25</v>
      </c>
      <c r="I266" s="54">
        <v>44621</v>
      </c>
      <c r="J266" s="55">
        <f>EFEITO!$J$266*EFEITO!$Y$266</f>
        <v>0</v>
      </c>
      <c r="K266" s="55">
        <f ca="1">EFEITO!$L$266*EFEITO!$Z$266</f>
        <v>257257.923667072</v>
      </c>
      <c r="L266" s="55">
        <f>EFEITO!$N$266*EFEITO!$AA$266</f>
        <v>109005.19401038963</v>
      </c>
      <c r="M266" s="55">
        <f>$J$266-EFEITO!$K$266*EFEITO!$Y$266</f>
        <v>0</v>
      </c>
      <c r="N266" s="55">
        <f ca="1">$K$266-EFEITO!$M$266*EFEITO!$Z$266</f>
        <v>0</v>
      </c>
      <c r="O266" s="55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5" t="s">
        <v>28</v>
      </c>
      <c r="B267" s="35" t="s">
        <v>22</v>
      </c>
      <c r="C267" s="35" t="s">
        <v>23</v>
      </c>
      <c r="D267" s="35" t="s">
        <v>24</v>
      </c>
      <c r="E267" s="35" t="s">
        <v>24</v>
      </c>
      <c r="F267" s="35" t="s">
        <v>25</v>
      </c>
      <c r="G267" s="35" t="s">
        <v>25</v>
      </c>
      <c r="H267" s="35" t="s">
        <v>25</v>
      </c>
      <c r="I267" s="54">
        <v>44621</v>
      </c>
      <c r="J267" s="55">
        <f>EFEITO!$J$267*EFEITO!$Y$267</f>
        <v>0</v>
      </c>
      <c r="K267" s="55">
        <f ca="1">EFEITO!$L$267*EFEITO!$Z$267</f>
        <v>1447.5900038964994</v>
      </c>
      <c r="L267" s="55">
        <f>EFEITO!$N$267*EFEITO!$AA$267</f>
        <v>613.37208577663614</v>
      </c>
      <c r="M267" s="55">
        <f>$J$267-EFEITO!$K$267*EFEITO!$Y$267</f>
        <v>0</v>
      </c>
      <c r="N267" s="55">
        <f ca="1">$K$267-EFEITO!$M$267*EFEITO!$Z$267</f>
        <v>0</v>
      </c>
      <c r="O267" s="55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5" t="s">
        <v>21</v>
      </c>
      <c r="B268" s="35" t="s">
        <v>22</v>
      </c>
      <c r="C268" s="35" t="s">
        <v>23</v>
      </c>
      <c r="D268" s="35" t="s">
        <v>24</v>
      </c>
      <c r="E268" s="35" t="s">
        <v>24</v>
      </c>
      <c r="F268" s="35" t="s">
        <v>25</v>
      </c>
      <c r="G268" s="35" t="s">
        <v>25</v>
      </c>
      <c r="H268" s="35" t="s">
        <v>25</v>
      </c>
      <c r="I268" s="54">
        <v>44652</v>
      </c>
      <c r="J268" s="55">
        <f>EFEITO!$J$268*EFEITO!$Y$268</f>
        <v>0</v>
      </c>
      <c r="K268" s="55">
        <f ca="1">EFEITO!$L$268*EFEITO!$Z$268</f>
        <v>250501.77431091783</v>
      </c>
      <c r="L268" s="55">
        <f>EFEITO!$N$268*EFEITO!$AA$268</f>
        <v>106142.48190872534</v>
      </c>
      <c r="M268" s="55">
        <f>$J$268-EFEITO!$K$268*EFEITO!$Y$268</f>
        <v>0</v>
      </c>
      <c r="N268" s="55">
        <f ca="1">$K$268-EFEITO!$M$268*EFEITO!$Z$268</f>
        <v>0</v>
      </c>
      <c r="O268" s="55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5" t="s">
        <v>27</v>
      </c>
      <c r="B269" s="35" t="s">
        <v>22</v>
      </c>
      <c r="C269" s="35" t="s">
        <v>23</v>
      </c>
      <c r="D269" s="35" t="s">
        <v>24</v>
      </c>
      <c r="E269" s="35" t="s">
        <v>24</v>
      </c>
      <c r="F269" s="35" t="s">
        <v>25</v>
      </c>
      <c r="G269" s="35" t="s">
        <v>25</v>
      </c>
      <c r="H269" s="35" t="s">
        <v>25</v>
      </c>
      <c r="I269" s="54">
        <v>44652</v>
      </c>
      <c r="J269" s="55">
        <f>EFEITO!$J$269*EFEITO!$Y$269</f>
        <v>0</v>
      </c>
      <c r="K269" s="55">
        <f ca="1">EFEITO!$L$269*EFEITO!$Z$269</f>
        <v>-385.96565400142464</v>
      </c>
      <c r="L269" s="55">
        <f>EFEITO!$N$269*EFEITO!$AA$269</f>
        <v>-163.54116676390362</v>
      </c>
      <c r="M269" s="55">
        <f>$J$269-EFEITO!$K$269*EFEITO!$Y$269</f>
        <v>0</v>
      </c>
      <c r="N269" s="55">
        <f ca="1">$K$269-EFEITO!$M$269*EFEITO!$Z$269</f>
        <v>0</v>
      </c>
      <c r="O269" s="55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5" t="s">
        <v>28</v>
      </c>
      <c r="B270" s="35" t="s">
        <v>22</v>
      </c>
      <c r="C270" s="35" t="s">
        <v>23</v>
      </c>
      <c r="D270" s="35" t="s">
        <v>24</v>
      </c>
      <c r="E270" s="35" t="s">
        <v>24</v>
      </c>
      <c r="F270" s="35" t="s">
        <v>25</v>
      </c>
      <c r="G270" s="35" t="s">
        <v>25</v>
      </c>
      <c r="H270" s="35" t="s">
        <v>25</v>
      </c>
      <c r="I270" s="54">
        <v>44652</v>
      </c>
      <c r="J270" s="55">
        <f>EFEITO!$J$270*EFEITO!$Y$270</f>
        <v>0</v>
      </c>
      <c r="K270" s="55">
        <f ca="1">EFEITO!$L$270*EFEITO!$Z$270</f>
        <v>1298.8050579095559</v>
      </c>
      <c r="L270" s="55">
        <f>EFEITO!$N$270*EFEITO!$AA$270</f>
        <v>550.32900561821532</v>
      </c>
      <c r="M270" s="55">
        <f>$J$270-EFEITO!$K$270*EFEITO!$Y$270</f>
        <v>0</v>
      </c>
      <c r="N270" s="55">
        <f ca="1">$K$270-EFEITO!$M$270*EFEITO!$Z$270</f>
        <v>0</v>
      </c>
      <c r="O270" s="55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5" t="s">
        <v>21</v>
      </c>
      <c r="B271" s="35" t="s">
        <v>22</v>
      </c>
      <c r="C271" s="35" t="s">
        <v>23</v>
      </c>
      <c r="D271" s="35" t="s">
        <v>24</v>
      </c>
      <c r="E271" s="35" t="s">
        <v>24</v>
      </c>
      <c r="F271" s="35" t="s">
        <v>25</v>
      </c>
      <c r="G271" s="35" t="s">
        <v>25</v>
      </c>
      <c r="H271" s="35" t="s">
        <v>25</v>
      </c>
      <c r="I271" s="54">
        <v>44682</v>
      </c>
      <c r="J271" s="55">
        <f>EFEITO!$J$271*EFEITO!$Y$271</f>
        <v>0</v>
      </c>
      <c r="K271" s="55">
        <f ca="1">EFEITO!$L$271*EFEITO!$Z$271</f>
        <v>240840.81768575971</v>
      </c>
      <c r="L271" s="55">
        <f>EFEITO!$N$271*EFEITO!$AA$271</f>
        <v>102048.94637737988</v>
      </c>
      <c r="M271" s="55">
        <f>$J$271-EFEITO!$K$271*EFEITO!$Y$271</f>
        <v>0</v>
      </c>
      <c r="N271" s="55">
        <f ca="1">$K$271-EFEITO!$M$271*EFEITO!$Z$271</f>
        <v>0</v>
      </c>
      <c r="O271" s="55">
        <f>$L$271-EFEITO!$O$271*EFEITO!$AA$271</f>
        <v>0</v>
      </c>
      <c r="P271" s="39"/>
      <c r="Q271" s="39"/>
      <c r="R271" s="39"/>
      <c r="S271" s="39"/>
      <c r="T271" s="39"/>
      <c r="U271" s="39"/>
      <c r="V271" s="39"/>
      <c r="W271" s="3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5" t="s">
        <v>27</v>
      </c>
      <c r="B272" s="35" t="s">
        <v>22</v>
      </c>
      <c r="C272" s="35" t="s">
        <v>23</v>
      </c>
      <c r="D272" s="35" t="s">
        <v>24</v>
      </c>
      <c r="E272" s="35" t="s">
        <v>24</v>
      </c>
      <c r="F272" s="35" t="s">
        <v>25</v>
      </c>
      <c r="G272" s="35" t="s">
        <v>25</v>
      </c>
      <c r="H272" s="35" t="s">
        <v>25</v>
      </c>
      <c r="I272" s="54">
        <v>44682</v>
      </c>
      <c r="J272" s="55">
        <f>EFEITO!$J$272*EFEITO!$Y$272</f>
        <v>0</v>
      </c>
      <c r="K272" s="55">
        <f ca="1">EFEITO!$L$272*EFEITO!$Z$272</f>
        <v>-111.15110670789326</v>
      </c>
      <c r="L272" s="55">
        <f>EFEITO!$N$272*EFEITO!$AA$272</f>
        <v>-47.096889294820315</v>
      </c>
      <c r="M272" s="55">
        <f>$J$272-EFEITO!$K$272*EFEITO!$Y$272</f>
        <v>0</v>
      </c>
      <c r="N272" s="55">
        <f ca="1">$K$272-EFEITO!$M$272*EFEITO!$Z$272</f>
        <v>0</v>
      </c>
      <c r="O272" s="55">
        <f>$L$272-EFEITO!$O$272*EFEITO!$AA$272</f>
        <v>0</v>
      </c>
      <c r="P272" s="39"/>
      <c r="Q272" s="39"/>
      <c r="R272" s="39"/>
      <c r="S272" s="39"/>
      <c r="T272" s="39"/>
      <c r="U272" s="39"/>
      <c r="V272" s="39"/>
      <c r="W272" s="3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5" t="s">
        <v>28</v>
      </c>
      <c r="B273" s="35" t="s">
        <v>22</v>
      </c>
      <c r="C273" s="35" t="s">
        <v>23</v>
      </c>
      <c r="D273" s="35" t="s">
        <v>24</v>
      </c>
      <c r="E273" s="35" t="s">
        <v>24</v>
      </c>
      <c r="F273" s="35" t="s">
        <v>25</v>
      </c>
      <c r="G273" s="35" t="s">
        <v>25</v>
      </c>
      <c r="H273" s="35" t="s">
        <v>25</v>
      </c>
      <c r="I273" s="54">
        <v>44682</v>
      </c>
      <c r="J273" s="55">
        <f>EFEITO!$J$273*EFEITO!$Y$273</f>
        <v>0</v>
      </c>
      <c r="K273" s="55">
        <f ca="1">EFEITO!$L$273*EFEITO!$Z$273</f>
        <v>1158.7721675689029</v>
      </c>
      <c r="L273" s="55">
        <f>EFEITO!$N$273*EFEITO!$AA$273</f>
        <v>490.99434193970154</v>
      </c>
      <c r="M273" s="55">
        <f>$J$273-EFEITO!$K$273*EFEITO!$Y$273</f>
        <v>0</v>
      </c>
      <c r="N273" s="55">
        <f ca="1">$K$273-EFEITO!$M$273*EFEITO!$Z$273</f>
        <v>0</v>
      </c>
      <c r="O273" s="55">
        <f>$L$273-EFEITO!$O$273*EFEITO!$AA$273</f>
        <v>0</v>
      </c>
      <c r="P273" s="39"/>
      <c r="Q273" s="39"/>
      <c r="R273" s="39"/>
      <c r="S273" s="39"/>
      <c r="T273" s="39"/>
      <c r="U273" s="39"/>
      <c r="V273" s="39"/>
      <c r="W273" s="3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5" t="s">
        <v>21</v>
      </c>
      <c r="B274" s="35" t="s">
        <v>22</v>
      </c>
      <c r="C274" s="35" t="s">
        <v>23</v>
      </c>
      <c r="D274" s="35" t="s">
        <v>24</v>
      </c>
      <c r="E274" s="35" t="s">
        <v>24</v>
      </c>
      <c r="F274" s="35" t="s">
        <v>25</v>
      </c>
      <c r="G274" s="35" t="s">
        <v>25</v>
      </c>
      <c r="H274" s="35" t="s">
        <v>25</v>
      </c>
      <c r="I274" s="54">
        <v>44713</v>
      </c>
      <c r="J274" s="55">
        <f>EFEITO!$J$274*EFEITO!$Y$274</f>
        <v>0</v>
      </c>
      <c r="K274" s="55">
        <f ca="1">EFEITO!$L$274*EFEITO!$Z$274</f>
        <v>228282.49303889705</v>
      </c>
      <c r="L274" s="55">
        <f>EFEITO!$N$274*EFEITO!$AA$274</f>
        <v>96727.739570361169</v>
      </c>
      <c r="M274" s="55">
        <f>$J$274-EFEITO!$K$274*EFEITO!$Y$274</f>
        <v>0</v>
      </c>
      <c r="N274" s="55">
        <f ca="1">$K$274-EFEITO!$M$274*EFEITO!$Z$274</f>
        <v>0</v>
      </c>
      <c r="O274" s="55">
        <f>$L$274-EFEITO!$O$274*EFEITO!$AA$274</f>
        <v>0</v>
      </c>
      <c r="P274" s="39"/>
      <c r="Q274" s="39"/>
      <c r="R274" s="39"/>
      <c r="S274" s="39"/>
      <c r="T274" s="39"/>
      <c r="U274" s="39"/>
      <c r="V274" s="39"/>
      <c r="W274" s="3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5" t="s">
        <v>28</v>
      </c>
      <c r="B275" s="35" t="s">
        <v>22</v>
      </c>
      <c r="C275" s="35" t="s">
        <v>23</v>
      </c>
      <c r="D275" s="35" t="s">
        <v>24</v>
      </c>
      <c r="E275" s="35" t="s">
        <v>24</v>
      </c>
      <c r="F275" s="35" t="s">
        <v>25</v>
      </c>
      <c r="G275" s="35" t="s">
        <v>25</v>
      </c>
      <c r="H275" s="35" t="s">
        <v>25</v>
      </c>
      <c r="I275" s="54">
        <v>44713</v>
      </c>
      <c r="J275" s="55">
        <f>EFEITO!$J$275*EFEITO!$Y$275</f>
        <v>0</v>
      </c>
      <c r="K275" s="55">
        <f ca="1">EFEITO!$L$275*EFEITO!$Z$275</f>
        <v>1564.8675495567963</v>
      </c>
      <c r="L275" s="55">
        <f>EFEITO!$N$275*EFEITO!$AA$275</f>
        <v>663.06486660739154</v>
      </c>
      <c r="M275" s="55">
        <f>$J$275-EFEITO!$K$275*EFEITO!$Y$275</f>
        <v>0</v>
      </c>
      <c r="N275" s="55">
        <f ca="1">$K$275-EFEITO!$M$275*EFEITO!$Z$275</f>
        <v>0</v>
      </c>
      <c r="O275" s="55">
        <f>$L$275-EFEITO!$O$275*EFEITO!$AA$275</f>
        <v>0</v>
      </c>
      <c r="P275" s="39"/>
      <c r="Q275" s="39"/>
      <c r="R275" s="39"/>
      <c r="S275" s="39"/>
      <c r="T275" s="39"/>
      <c r="U275" s="39"/>
      <c r="V275" s="39"/>
      <c r="W275" s="3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5" t="s">
        <v>21</v>
      </c>
      <c r="B276" s="35" t="s">
        <v>22</v>
      </c>
      <c r="C276" s="35" t="s">
        <v>23</v>
      </c>
      <c r="D276" s="35" t="s">
        <v>24</v>
      </c>
      <c r="E276" s="35" t="s">
        <v>24</v>
      </c>
      <c r="F276" s="35" t="s">
        <v>25</v>
      </c>
      <c r="G276" s="35" t="s">
        <v>25</v>
      </c>
      <c r="H276" s="35" t="s">
        <v>25</v>
      </c>
      <c r="I276" s="54">
        <v>44743</v>
      </c>
      <c r="J276" s="55">
        <f>EFEITO!$J$276*EFEITO!$Y$276</f>
        <v>0</v>
      </c>
      <c r="K276" s="55">
        <f ca="1">EFEITO!$L$276*EFEITO!$Z$276</f>
        <v>245605.43677960039</v>
      </c>
      <c r="L276" s="55">
        <f>EFEITO!$N$276*EFEITO!$AA$276</f>
        <v>104067.80830904128</v>
      </c>
      <c r="M276" s="55">
        <f>$J$276-EFEITO!$K$276*EFEITO!$Y$276</f>
        <v>0</v>
      </c>
      <c r="N276" s="55">
        <f ca="1">$K$276-EFEITO!$M$276*EFEITO!$Z$276</f>
        <v>0</v>
      </c>
      <c r="O276" s="55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5" t="s">
        <v>28</v>
      </c>
      <c r="B277" s="35" t="s">
        <v>22</v>
      </c>
      <c r="C277" s="35" t="s">
        <v>23</v>
      </c>
      <c r="D277" s="35" t="s">
        <v>24</v>
      </c>
      <c r="E277" s="35" t="s">
        <v>24</v>
      </c>
      <c r="F277" s="35" t="s">
        <v>25</v>
      </c>
      <c r="G277" s="35" t="s">
        <v>25</v>
      </c>
      <c r="H277" s="35" t="s">
        <v>25</v>
      </c>
      <c r="I277" s="54">
        <v>44743</v>
      </c>
      <c r="J277" s="55">
        <f>EFEITO!$J$277*EFEITO!$Y$277</f>
        <v>0</v>
      </c>
      <c r="K277" s="55">
        <f ca="1">EFEITO!$L$277*EFEITO!$Z$277</f>
        <v>1800.2978464420191</v>
      </c>
      <c r="L277" s="55">
        <f>EFEITO!$N$277*EFEITO!$AA$277</f>
        <v>762.82126991689279</v>
      </c>
      <c r="M277" s="55">
        <f>$J$277-EFEITO!$K$277*EFEITO!$Y$277</f>
        <v>0</v>
      </c>
      <c r="N277" s="55">
        <f ca="1">$K$277-EFEITO!$M$277*EFEITO!$Z$277</f>
        <v>0</v>
      </c>
      <c r="O277" s="55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5" t="s">
        <v>21</v>
      </c>
      <c r="B278" s="35" t="s">
        <v>22</v>
      </c>
      <c r="C278" s="35" t="s">
        <v>23</v>
      </c>
      <c r="D278" s="35" t="s">
        <v>24</v>
      </c>
      <c r="E278" s="35" t="s">
        <v>24</v>
      </c>
      <c r="F278" s="35" t="s">
        <v>25</v>
      </c>
      <c r="G278" s="35" t="s">
        <v>25</v>
      </c>
      <c r="H278" s="35" t="s">
        <v>25</v>
      </c>
      <c r="I278" s="54">
        <v>44774</v>
      </c>
      <c r="J278" s="55">
        <f>EFEITO!$J$278*EFEITO!$Y$278</f>
        <v>0</v>
      </c>
      <c r="K278" s="55">
        <f ca="1">EFEITO!$L$278*EFEITO!$Z$278</f>
        <v>256150.35102503392</v>
      </c>
      <c r="L278" s="55">
        <f>EFEITO!$N$278*EFEITO!$AA$278</f>
        <v>108535.8939048574</v>
      </c>
      <c r="M278" s="55">
        <f>$J$278-EFEITO!$K$278*EFEITO!$Y$278</f>
        <v>0</v>
      </c>
      <c r="N278" s="55">
        <f ca="1">$K$278-EFEITO!$M$278*EFEITO!$Z$278</f>
        <v>0</v>
      </c>
      <c r="O278" s="55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5" t="s">
        <v>27</v>
      </c>
      <c r="B279" s="35" t="s">
        <v>22</v>
      </c>
      <c r="C279" s="35" t="s">
        <v>23</v>
      </c>
      <c r="D279" s="35" t="s">
        <v>24</v>
      </c>
      <c r="E279" s="35" t="s">
        <v>24</v>
      </c>
      <c r="F279" s="35" t="s">
        <v>25</v>
      </c>
      <c r="G279" s="35" t="s">
        <v>25</v>
      </c>
      <c r="H279" s="35" t="s">
        <v>25</v>
      </c>
      <c r="I279" s="54">
        <v>44774</v>
      </c>
      <c r="J279" s="55">
        <f>EFEITO!$J$279*EFEITO!$Y$279</f>
        <v>0</v>
      </c>
      <c r="K279" s="55">
        <f ca="1">EFEITO!$L$279*EFEITO!$Z$279</f>
        <v>-108.52549001400601</v>
      </c>
      <c r="L279" s="55">
        <f>EFEITO!$N$279*EFEITO!$AA$279</f>
        <v>-45.984364350848182</v>
      </c>
      <c r="M279" s="55">
        <f>$J$279-EFEITO!$K$279*EFEITO!$Y$279</f>
        <v>0</v>
      </c>
      <c r="N279" s="55">
        <f ca="1">$K$279-EFEITO!$M$279*EFEITO!$Z$279</f>
        <v>0</v>
      </c>
      <c r="O279" s="55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5" t="s">
        <v>28</v>
      </c>
      <c r="B280" s="35" t="s">
        <v>22</v>
      </c>
      <c r="C280" s="35" t="s">
        <v>23</v>
      </c>
      <c r="D280" s="35" t="s">
        <v>24</v>
      </c>
      <c r="E280" s="35" t="s">
        <v>24</v>
      </c>
      <c r="F280" s="35" t="s">
        <v>25</v>
      </c>
      <c r="G280" s="35" t="s">
        <v>25</v>
      </c>
      <c r="H280" s="35" t="s">
        <v>25</v>
      </c>
      <c r="I280" s="54">
        <v>44774</v>
      </c>
      <c r="J280" s="55">
        <f>EFEITO!$J$280*EFEITO!$Y$280</f>
        <v>0</v>
      </c>
      <c r="K280" s="55">
        <f ca="1">EFEITO!$L$280*EFEITO!$Z$280</f>
        <v>1519.7944629783988</v>
      </c>
      <c r="L280" s="55">
        <f>EFEITO!$N$280*EFEITO!$AA$280</f>
        <v>643.96652173586983</v>
      </c>
      <c r="M280" s="55">
        <f>$J$280-EFEITO!$K$280*EFEITO!$Y$280</f>
        <v>0</v>
      </c>
      <c r="N280" s="55">
        <f ca="1">$K$280-EFEITO!$M$280*EFEITO!$Z$280</f>
        <v>0</v>
      </c>
      <c r="O280" s="55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5" t="s">
        <v>21</v>
      </c>
      <c r="B281" s="35" t="s">
        <v>22</v>
      </c>
      <c r="C281" s="35" t="s">
        <v>23</v>
      </c>
      <c r="D281" s="35" t="s">
        <v>24</v>
      </c>
      <c r="E281" s="35" t="s">
        <v>29</v>
      </c>
      <c r="F281" s="35" t="s">
        <v>25</v>
      </c>
      <c r="G281" s="35" t="s">
        <v>25</v>
      </c>
      <c r="H281" s="35" t="s">
        <v>25</v>
      </c>
      <c r="I281" s="54">
        <v>44440</v>
      </c>
      <c r="J281" s="55">
        <f>EFEITO!$J$281*EFEITO!$Y$249</f>
        <v>0</v>
      </c>
      <c r="K281" s="55">
        <f ca="1">EFEITO!$L$281*EFEITO!$Z$320</f>
        <v>1437.496628936859</v>
      </c>
      <c r="L281" s="55">
        <f>EFEITO!$N$281*EFEITO!$AA$320</f>
        <v>812.14320909965738</v>
      </c>
      <c r="M281" s="55">
        <f>$J$281-EFEITO!$K$281*EFEITO!$Y$281</f>
        <v>0</v>
      </c>
      <c r="N281" s="55">
        <f ca="1">$K$281-EFEITO!$M$281*EFEITO!$Z$281</f>
        <v>934.37280880895833</v>
      </c>
      <c r="O281" s="55">
        <f>$L$281-EFEITO!$O$281*EFEITO!$AA$281</f>
        <v>527.89308591477732</v>
      </c>
      <c r="P281" s="39"/>
      <c r="Q281" s="39"/>
      <c r="R281" s="39"/>
      <c r="S281" s="39"/>
      <c r="T281" s="39"/>
      <c r="U281" s="39"/>
      <c r="V281" s="39"/>
      <c r="W281" s="3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5" t="s">
        <v>21</v>
      </c>
      <c r="B282" s="35" t="s">
        <v>22</v>
      </c>
      <c r="C282" s="35" t="s">
        <v>23</v>
      </c>
      <c r="D282" s="35" t="s">
        <v>24</v>
      </c>
      <c r="E282" s="35" t="s">
        <v>29</v>
      </c>
      <c r="F282" s="35" t="s">
        <v>25</v>
      </c>
      <c r="G282" s="35" t="s">
        <v>25</v>
      </c>
      <c r="H282" s="35" t="s">
        <v>25</v>
      </c>
      <c r="I282" s="54">
        <v>44470</v>
      </c>
      <c r="J282" s="55">
        <f>EFEITO!$J$282*EFEITO!$Y$249</f>
        <v>0</v>
      </c>
      <c r="K282" s="55">
        <f ca="1">EFEITO!$L$282*EFEITO!$Z$320</f>
        <v>1467.0342309013149</v>
      </c>
      <c r="L282" s="55">
        <f>EFEITO!$N$282*EFEITO!$AA$320</f>
        <v>828.83108325923934</v>
      </c>
      <c r="M282" s="55">
        <f>$J$282-EFEITO!$K$282*EFEITO!$Y$282</f>
        <v>0</v>
      </c>
      <c r="N282" s="55">
        <f ca="1">$K$282-EFEITO!$M$282*EFEITO!$Z$282</f>
        <v>953.57225008585476</v>
      </c>
      <c r="O282" s="55">
        <f>$L$282-EFEITO!$O$282*EFEITO!$AA$282</f>
        <v>538.74020411850552</v>
      </c>
      <c r="P282" s="39"/>
      <c r="Q282" s="39"/>
      <c r="R282" s="39"/>
      <c r="S282" s="39"/>
      <c r="T282" s="39"/>
      <c r="U282" s="39"/>
      <c r="V282" s="39"/>
      <c r="W282" s="3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5" t="s">
        <v>21</v>
      </c>
      <c r="B283" s="35" t="s">
        <v>22</v>
      </c>
      <c r="C283" s="35" t="s">
        <v>23</v>
      </c>
      <c r="D283" s="35" t="s">
        <v>24</v>
      </c>
      <c r="E283" s="35" t="s">
        <v>29</v>
      </c>
      <c r="F283" s="35" t="s">
        <v>25</v>
      </c>
      <c r="G283" s="35" t="s">
        <v>25</v>
      </c>
      <c r="H283" s="35" t="s">
        <v>25</v>
      </c>
      <c r="I283" s="54">
        <v>44501</v>
      </c>
      <c r="J283" s="55">
        <f>EFEITO!$J$283*EFEITO!$Y$249</f>
        <v>0</v>
      </c>
      <c r="K283" s="55">
        <f ca="1">EFEITO!$L$283*EFEITO!$Z$320</f>
        <v>1496.5718328657708</v>
      </c>
      <c r="L283" s="55">
        <f>EFEITO!$N$283*EFEITO!$AA$320</f>
        <v>845.51895741882129</v>
      </c>
      <c r="M283" s="55">
        <f>$J$283-EFEITO!$K$283*EFEITO!$Y$283</f>
        <v>0</v>
      </c>
      <c r="N283" s="55">
        <f ca="1">$K$283-EFEITO!$M$283*EFEITO!$Z$283</f>
        <v>972.77169136275108</v>
      </c>
      <c r="O283" s="55">
        <f>$L$283-EFEITO!$O$283*EFEITO!$AA$283</f>
        <v>549.58732232223383</v>
      </c>
      <c r="P283" s="39"/>
      <c r="Q283" s="39"/>
      <c r="R283" s="39"/>
      <c r="S283" s="39"/>
      <c r="T283" s="39"/>
      <c r="U283" s="39"/>
      <c r="V283" s="39"/>
      <c r="W283" s="3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5" t="s">
        <v>21</v>
      </c>
      <c r="B284" s="35" t="s">
        <v>22</v>
      </c>
      <c r="C284" s="35" t="s">
        <v>23</v>
      </c>
      <c r="D284" s="35" t="s">
        <v>24</v>
      </c>
      <c r="E284" s="35" t="s">
        <v>29</v>
      </c>
      <c r="F284" s="35" t="s">
        <v>25</v>
      </c>
      <c r="G284" s="35" t="s">
        <v>25</v>
      </c>
      <c r="H284" s="35" t="s">
        <v>25</v>
      </c>
      <c r="I284" s="54">
        <v>44531</v>
      </c>
      <c r="J284" s="55">
        <f>EFEITO!$J$284*EFEITO!$Y$249</f>
        <v>0</v>
      </c>
      <c r="K284" s="55">
        <f ca="1">EFEITO!$L$284*EFEITO!$Z$320</f>
        <v>1644.2598426880511</v>
      </c>
      <c r="L284" s="55">
        <f>EFEITO!$N$284*EFEITO!$AA$320</f>
        <v>928.95832821673127</v>
      </c>
      <c r="M284" s="55">
        <f>$J$284-EFEITO!$K$284*EFEITO!$Y$284</f>
        <v>0</v>
      </c>
      <c r="N284" s="55">
        <f ca="1">$K$284-EFEITO!$M$284*EFEITO!$Z$284</f>
        <v>1068.7688977472333</v>
      </c>
      <c r="O284" s="55">
        <f>$L$284-EFEITO!$O$284*EFEITO!$AA$284</f>
        <v>603.8229133408754</v>
      </c>
      <c r="P284" s="39"/>
      <c r="Q284" s="39"/>
      <c r="R284" s="39"/>
      <c r="S284" s="39"/>
      <c r="T284" s="39"/>
      <c r="U284" s="39"/>
      <c r="V284" s="39"/>
      <c r="W284" s="3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5" t="s">
        <v>21</v>
      </c>
      <c r="B285" s="35" t="s">
        <v>22</v>
      </c>
      <c r="C285" s="35" t="s">
        <v>23</v>
      </c>
      <c r="D285" s="35" t="s">
        <v>24</v>
      </c>
      <c r="E285" s="35" t="s">
        <v>29</v>
      </c>
      <c r="F285" s="35" t="s">
        <v>25</v>
      </c>
      <c r="G285" s="35" t="s">
        <v>25</v>
      </c>
      <c r="H285" s="35" t="s">
        <v>25</v>
      </c>
      <c r="I285" s="54">
        <v>44562</v>
      </c>
      <c r="J285" s="55">
        <f>EFEITO!$J$285*EFEITO!$Y$249</f>
        <v>0</v>
      </c>
      <c r="K285" s="55">
        <f ca="1">EFEITO!$L$285*EFEITO!$Z$320</f>
        <v>1614.7222407235952</v>
      </c>
      <c r="L285" s="55">
        <f>EFEITO!$N$285*EFEITO!$AA$320</f>
        <v>912.27045405714932</v>
      </c>
      <c r="M285" s="55">
        <f>$J$285-EFEITO!$K$285*EFEITO!$Y$285</f>
        <v>0</v>
      </c>
      <c r="N285" s="55">
        <f ca="1">$K$285-EFEITO!$M$285*EFEITO!$Z$285</f>
        <v>1049.5694564703369</v>
      </c>
      <c r="O285" s="55">
        <f>$L$285-EFEITO!$O$285*EFEITO!$AA$285</f>
        <v>592.97579513714709</v>
      </c>
      <c r="P285" s="39"/>
      <c r="Q285" s="39"/>
      <c r="R285" s="39"/>
      <c r="S285" s="39"/>
      <c r="T285" s="39"/>
      <c r="U285" s="39"/>
      <c r="V285" s="39"/>
      <c r="W285" s="3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5" t="s">
        <v>27</v>
      </c>
      <c r="B286" s="35" t="s">
        <v>22</v>
      </c>
      <c r="C286" s="35" t="s">
        <v>23</v>
      </c>
      <c r="D286" s="35" t="s">
        <v>24</v>
      </c>
      <c r="E286" s="35" t="s">
        <v>29</v>
      </c>
      <c r="F286" s="35" t="s">
        <v>25</v>
      </c>
      <c r="G286" s="35" t="s">
        <v>25</v>
      </c>
      <c r="H286" s="35" t="s">
        <v>25</v>
      </c>
      <c r="I286" s="54">
        <v>44562</v>
      </c>
      <c r="J286" s="55">
        <f>EFEITO!$J$286*EFEITO!$Y$249</f>
        <v>0</v>
      </c>
      <c r="K286" s="55">
        <f ca="1">EFEITO!$L$286*EFEITO!$Z$320</f>
        <v>-9.8458673214853363</v>
      </c>
      <c r="L286" s="55">
        <f>EFEITO!$N$286*EFEITO!$AA$320</f>
        <v>-5.5626247198606666</v>
      </c>
      <c r="M286" s="55">
        <f>$J$286-EFEITO!$K$286*EFEITO!$Y$286</f>
        <v>0</v>
      </c>
      <c r="N286" s="55">
        <f ca="1">$K$286-EFEITO!$M$286*EFEITO!$Z$286</f>
        <v>-6.3998137589654691</v>
      </c>
      <c r="O286" s="55">
        <f>$L$286-EFEITO!$O$286*EFEITO!$AA$286</f>
        <v>-3.6157060679094335</v>
      </c>
      <c r="P286" s="39"/>
      <c r="Q286" s="39"/>
      <c r="R286" s="39"/>
      <c r="S286" s="39"/>
      <c r="T286" s="39"/>
      <c r="U286" s="39"/>
      <c r="V286" s="39"/>
      <c r="W286" s="3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5" t="s">
        <v>21</v>
      </c>
      <c r="B287" s="35" t="s">
        <v>22</v>
      </c>
      <c r="C287" s="35" t="s">
        <v>23</v>
      </c>
      <c r="D287" s="35" t="s">
        <v>24</v>
      </c>
      <c r="E287" s="35" t="s">
        <v>29</v>
      </c>
      <c r="F287" s="35" t="s">
        <v>25</v>
      </c>
      <c r="G287" s="35" t="s">
        <v>25</v>
      </c>
      <c r="H287" s="35" t="s">
        <v>25</v>
      </c>
      <c r="I287" s="54">
        <v>44593</v>
      </c>
      <c r="J287" s="55">
        <f>EFEITO!$J$287*EFEITO!$Y$249</f>
        <v>0</v>
      </c>
      <c r="K287" s="55">
        <f ca="1">EFEITO!$L$287*EFEITO!$Z$320</f>
        <v>1831.3313217962725</v>
      </c>
      <c r="L287" s="55">
        <f>EFEITO!$N$287*EFEITO!$AA$320</f>
        <v>1034.648197894084</v>
      </c>
      <c r="M287" s="55">
        <f>$J$287-EFEITO!$K$287*EFEITO!$Y$287</f>
        <v>0</v>
      </c>
      <c r="N287" s="55">
        <f ca="1">$K$287-EFEITO!$M$287*EFEITO!$Z$287</f>
        <v>1190.365359167577</v>
      </c>
      <c r="O287" s="55">
        <f>$L$287-EFEITO!$O$287*EFEITO!$AA$287</f>
        <v>672.52132863115457</v>
      </c>
      <c r="P287" s="39"/>
      <c r="Q287" s="39"/>
      <c r="R287" s="39"/>
      <c r="S287" s="39"/>
      <c r="T287" s="39"/>
      <c r="U287" s="39"/>
      <c r="V287" s="39"/>
      <c r="W287" s="3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5" t="s">
        <v>21</v>
      </c>
      <c r="B288" s="35" t="s">
        <v>22</v>
      </c>
      <c r="C288" s="35" t="s">
        <v>23</v>
      </c>
      <c r="D288" s="35" t="s">
        <v>24</v>
      </c>
      <c r="E288" s="35" t="s">
        <v>29</v>
      </c>
      <c r="F288" s="35" t="s">
        <v>25</v>
      </c>
      <c r="G288" s="35" t="s">
        <v>25</v>
      </c>
      <c r="H288" s="35" t="s">
        <v>25</v>
      </c>
      <c r="I288" s="54">
        <v>44621</v>
      </c>
      <c r="J288" s="55">
        <f>EFEITO!$J$288*EFEITO!$Y$249</f>
        <v>0</v>
      </c>
      <c r="K288" s="55">
        <f ca="1">EFEITO!$L$288*EFEITO!$Z$320</f>
        <v>2225.166014655686</v>
      </c>
      <c r="L288" s="55">
        <f>EFEITO!$N$288*EFEITO!$AA$320</f>
        <v>1257.1531866885107</v>
      </c>
      <c r="M288" s="55">
        <f>$J$288-EFEITO!$K$288*EFEITO!$Y$288</f>
        <v>0</v>
      </c>
      <c r="N288" s="55">
        <f ca="1">$K$288-EFEITO!$M$288*EFEITO!$Z$288</f>
        <v>1446.357909526196</v>
      </c>
      <c r="O288" s="55">
        <f>$L$288-EFEITO!$O$288*EFEITO!$AA$288</f>
        <v>817.14957134753195</v>
      </c>
      <c r="P288" s="39"/>
      <c r="Q288" s="39"/>
      <c r="R288" s="39"/>
      <c r="S288" s="39"/>
      <c r="T288" s="39"/>
      <c r="U288" s="39"/>
      <c r="V288" s="39"/>
      <c r="W288" s="3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5" t="s">
        <v>21</v>
      </c>
      <c r="B289" s="35" t="s">
        <v>22</v>
      </c>
      <c r="C289" s="35" t="s">
        <v>23</v>
      </c>
      <c r="D289" s="35" t="s">
        <v>24</v>
      </c>
      <c r="E289" s="35" t="s">
        <v>29</v>
      </c>
      <c r="F289" s="35" t="s">
        <v>25</v>
      </c>
      <c r="G289" s="35" t="s">
        <v>25</v>
      </c>
      <c r="H289" s="35" t="s">
        <v>25</v>
      </c>
      <c r="I289" s="54">
        <v>44652</v>
      </c>
      <c r="J289" s="55">
        <f>EFEITO!$J$289*EFEITO!$Y$249</f>
        <v>0</v>
      </c>
      <c r="K289" s="55">
        <f ca="1">EFEITO!$L$289*EFEITO!$Z$320</f>
        <v>2294.0870859060833</v>
      </c>
      <c r="L289" s="55">
        <f>EFEITO!$N$289*EFEITO!$AA$320</f>
        <v>1296.0915597275355</v>
      </c>
      <c r="M289" s="55">
        <f>$J$289-EFEITO!$K$289*EFEITO!$Y$289</f>
        <v>0</v>
      </c>
      <c r="N289" s="55">
        <f ca="1">$K$289-EFEITO!$M$289*EFEITO!$Z$289</f>
        <v>1491.1566058389542</v>
      </c>
      <c r="O289" s="55">
        <f>$L$289-EFEITO!$O$289*EFEITO!$AA$289</f>
        <v>842.45951382289809</v>
      </c>
      <c r="P289" s="39"/>
      <c r="Q289" s="39"/>
      <c r="R289" s="39"/>
      <c r="S289" s="39"/>
      <c r="T289" s="39"/>
      <c r="U289" s="39"/>
      <c r="V289" s="39"/>
      <c r="W289" s="3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5" t="s">
        <v>21</v>
      </c>
      <c r="B290" s="35" t="s">
        <v>22</v>
      </c>
      <c r="C290" s="35" t="s">
        <v>23</v>
      </c>
      <c r="D290" s="35" t="s">
        <v>24</v>
      </c>
      <c r="E290" s="35" t="s">
        <v>29</v>
      </c>
      <c r="F290" s="35" t="s">
        <v>25</v>
      </c>
      <c r="G290" s="35" t="s">
        <v>25</v>
      </c>
      <c r="H290" s="35" t="s">
        <v>25</v>
      </c>
      <c r="I290" s="54">
        <v>44682</v>
      </c>
      <c r="J290" s="55">
        <f>EFEITO!$J$290*EFEITO!$Y$249</f>
        <v>0</v>
      </c>
      <c r="K290" s="55">
        <f ca="1">EFEITO!$L$290*EFEITO!$Z$320</f>
        <v>2353.1622898349951</v>
      </c>
      <c r="L290" s="55">
        <f>EFEITO!$N$290*EFEITO!$AA$320</f>
        <v>1329.4673080466994</v>
      </c>
      <c r="M290" s="55">
        <f>$J$290-EFEITO!$K$290*EFEITO!$Y$290</f>
        <v>0</v>
      </c>
      <c r="N290" s="55">
        <f ca="1">$K$290-EFEITO!$M$290*EFEITO!$Z$290</f>
        <v>1529.5554883927468</v>
      </c>
      <c r="O290" s="55">
        <f>$L$290-EFEITO!$O$290*EFEITO!$AA$290</f>
        <v>864.1537502303546</v>
      </c>
      <c r="P290" s="39"/>
      <c r="Q290" s="39"/>
      <c r="R290" s="39"/>
      <c r="S290" s="39"/>
      <c r="T290" s="39"/>
      <c r="U290" s="39"/>
      <c r="V290" s="39"/>
      <c r="W290" s="3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5" t="s">
        <v>21</v>
      </c>
      <c r="B291" s="35" t="s">
        <v>22</v>
      </c>
      <c r="C291" s="35" t="s">
        <v>23</v>
      </c>
      <c r="D291" s="35" t="s">
        <v>24</v>
      </c>
      <c r="E291" s="35" t="s">
        <v>29</v>
      </c>
      <c r="F291" s="35" t="s">
        <v>25</v>
      </c>
      <c r="G291" s="35" t="s">
        <v>25</v>
      </c>
      <c r="H291" s="35" t="s">
        <v>25</v>
      </c>
      <c r="I291" s="54">
        <v>44713</v>
      </c>
      <c r="J291" s="55">
        <f>EFEITO!$J$291*EFEITO!$Y$249</f>
        <v>0</v>
      </c>
      <c r="K291" s="55">
        <f ca="1">EFEITO!$L$291*EFEITO!$Z$320</f>
        <v>2166.0908107267737</v>
      </c>
      <c r="L291" s="55">
        <f>EFEITO!$N$291*EFEITO!$AA$320</f>
        <v>1223.7774383693466</v>
      </c>
      <c r="M291" s="55">
        <f>$J$291-EFEITO!$K$291*EFEITO!$Y$291</f>
        <v>0</v>
      </c>
      <c r="N291" s="55">
        <f ca="1">$K$291-EFEITO!$M$291*EFEITO!$Z$291</f>
        <v>1407.9590269724031</v>
      </c>
      <c r="O291" s="55">
        <f>$L$291-EFEITO!$O$291*EFEITO!$AA$291</f>
        <v>795.45533494007532</v>
      </c>
      <c r="P291" s="39"/>
      <c r="Q291" s="39"/>
      <c r="R291" s="39"/>
      <c r="S291" s="39"/>
      <c r="T291" s="39"/>
      <c r="U291" s="39"/>
      <c r="V291" s="39"/>
      <c r="W291" s="3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5" t="s">
        <v>21</v>
      </c>
      <c r="B292" s="35" t="s">
        <v>22</v>
      </c>
      <c r="C292" s="35" t="s">
        <v>23</v>
      </c>
      <c r="D292" s="35" t="s">
        <v>24</v>
      </c>
      <c r="E292" s="35" t="s">
        <v>29</v>
      </c>
      <c r="F292" s="35" t="s">
        <v>25</v>
      </c>
      <c r="G292" s="35" t="s">
        <v>25</v>
      </c>
      <c r="H292" s="35" t="s">
        <v>25</v>
      </c>
      <c r="I292" s="54">
        <v>44743</v>
      </c>
      <c r="J292" s="55">
        <f>EFEITO!$J$292*EFEITO!$Y$249</f>
        <v>0</v>
      </c>
      <c r="K292" s="55">
        <f ca="1">EFEITO!$L$292*EFEITO!$Z$320</f>
        <v>2185.7825453697446</v>
      </c>
      <c r="L292" s="55">
        <f>EFEITO!$N$292*EFEITO!$AA$320</f>
        <v>1234.9026878090681</v>
      </c>
      <c r="M292" s="55">
        <f>$J$292-EFEITO!$K$292*EFEITO!$Y$292</f>
        <v>0</v>
      </c>
      <c r="N292" s="55">
        <f ca="1">$K$292-EFEITO!$M$292*EFEITO!$Z$292</f>
        <v>1420.758654490334</v>
      </c>
      <c r="O292" s="55">
        <f>$L$292-EFEITO!$O$292*EFEITO!$AA$292</f>
        <v>802.68674707589435</v>
      </c>
      <c r="P292" s="39"/>
      <c r="Q292" s="39"/>
      <c r="R292" s="39"/>
      <c r="S292" s="39"/>
      <c r="T292" s="39"/>
      <c r="U292" s="39"/>
      <c r="V292" s="39"/>
      <c r="W292" s="3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5" t="s">
        <v>21</v>
      </c>
      <c r="B293" s="35" t="s">
        <v>22</v>
      </c>
      <c r="C293" s="35" t="s">
        <v>23</v>
      </c>
      <c r="D293" s="35" t="s">
        <v>24</v>
      </c>
      <c r="E293" s="35" t="s">
        <v>29</v>
      </c>
      <c r="F293" s="35" t="s">
        <v>25</v>
      </c>
      <c r="G293" s="35" t="s">
        <v>25</v>
      </c>
      <c r="H293" s="35" t="s">
        <v>25</v>
      </c>
      <c r="I293" s="54">
        <v>44774</v>
      </c>
      <c r="J293" s="55">
        <f>EFEITO!$J$293*EFEITO!$Y$249</f>
        <v>0</v>
      </c>
      <c r="K293" s="55">
        <f ca="1">EFEITO!$L$293*EFEITO!$Z$320</f>
        <v>2126.7073414408328</v>
      </c>
      <c r="L293" s="55">
        <f>EFEITO!$N$293*EFEITO!$AA$320</f>
        <v>1201.5269394899042</v>
      </c>
      <c r="M293" s="55">
        <f>$J$293-EFEITO!$K$293*EFEITO!$Y$293</f>
        <v>0</v>
      </c>
      <c r="N293" s="55">
        <f ca="1">$K$293-EFEITO!$M$293*EFEITO!$Z$293</f>
        <v>1382.3597719365414</v>
      </c>
      <c r="O293" s="55">
        <f>$L$293-EFEITO!$O$293*EFEITO!$AA$293</f>
        <v>780.99251066843772</v>
      </c>
      <c r="P293" s="39"/>
      <c r="Q293" s="39"/>
      <c r="R293" s="39"/>
      <c r="S293" s="39"/>
      <c r="T293" s="39"/>
      <c r="U293" s="39"/>
      <c r="V293" s="39"/>
      <c r="W293" s="3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5" t="s">
        <v>21</v>
      </c>
      <c r="B294" s="35" t="s">
        <v>22</v>
      </c>
      <c r="C294" s="35" t="s">
        <v>23</v>
      </c>
      <c r="D294" s="35" t="s">
        <v>24</v>
      </c>
      <c r="E294" s="35" t="s">
        <v>30</v>
      </c>
      <c r="F294" s="35" t="s">
        <v>25</v>
      </c>
      <c r="G294" s="35" t="s">
        <v>25</v>
      </c>
      <c r="H294" s="35" t="s">
        <v>25</v>
      </c>
      <c r="I294" s="54">
        <v>44440</v>
      </c>
      <c r="J294" s="55">
        <f>EFEITO!$J$294*EFEITO!$Y$249</f>
        <v>0</v>
      </c>
      <c r="K294" s="55">
        <f ca="1">EFEITO!$L$294*EFEITO!$Z$320</f>
        <v>3078.8027114284646</v>
      </c>
      <c r="L294" s="55">
        <f>EFEITO!$N$294*EFEITO!$AA$320</f>
        <v>1739.4327499004305</v>
      </c>
      <c r="M294" s="55">
        <f>$J$294-EFEITO!$K$294*EFEITO!$Y$294</f>
        <v>0</v>
      </c>
      <c r="N294" s="55">
        <f ca="1">$K$294-EFEITO!$M$294*EFEITO!$Z$294</f>
        <v>1231.5210845713857</v>
      </c>
      <c r="O294" s="55">
        <f>$L$294-EFEITO!$O$294*EFEITO!$AA$294</f>
        <v>695.7730999601722</v>
      </c>
      <c r="P294" s="39"/>
      <c r="Q294" s="39"/>
      <c r="R294" s="39"/>
      <c r="S294" s="39"/>
      <c r="T294" s="39"/>
      <c r="U294" s="39"/>
      <c r="V294" s="39"/>
      <c r="W294" s="3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5" t="s">
        <v>21</v>
      </c>
      <c r="B295" s="35" t="s">
        <v>22</v>
      </c>
      <c r="C295" s="35" t="s">
        <v>23</v>
      </c>
      <c r="D295" s="35" t="s">
        <v>24</v>
      </c>
      <c r="E295" s="35" t="s">
        <v>30</v>
      </c>
      <c r="F295" s="35" t="s">
        <v>25</v>
      </c>
      <c r="G295" s="35" t="s">
        <v>25</v>
      </c>
      <c r="H295" s="35" t="s">
        <v>25</v>
      </c>
      <c r="I295" s="54">
        <v>44470</v>
      </c>
      <c r="J295" s="55">
        <f>EFEITO!$J$295*EFEITO!$Y$249</f>
        <v>0</v>
      </c>
      <c r="K295" s="55">
        <f ca="1">EFEITO!$L$295*EFEITO!$Z$320</f>
        <v>3143.1290445955019</v>
      </c>
      <c r="L295" s="55">
        <f>EFEITO!$N$295*EFEITO!$AA$320</f>
        <v>1775.7752314035201</v>
      </c>
      <c r="M295" s="55">
        <f>$J$295-EFEITO!$K$295*EFEITO!$Y$295</f>
        <v>0</v>
      </c>
      <c r="N295" s="55">
        <f ca="1">$K$295-EFEITO!$M$295*EFEITO!$Z$295</f>
        <v>1257.2516178382007</v>
      </c>
      <c r="O295" s="55">
        <f>$L$295-EFEITO!$O$295*EFEITO!$AA$295</f>
        <v>710.31009256140806</v>
      </c>
      <c r="P295" s="39"/>
      <c r="Q295" s="39"/>
      <c r="R295" s="39"/>
      <c r="S295" s="39"/>
      <c r="T295" s="39"/>
      <c r="U295" s="39"/>
      <c r="V295" s="39"/>
      <c r="W295" s="3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5" t="s">
        <v>21</v>
      </c>
      <c r="B296" s="35" t="s">
        <v>22</v>
      </c>
      <c r="C296" s="35" t="s">
        <v>23</v>
      </c>
      <c r="D296" s="35" t="s">
        <v>24</v>
      </c>
      <c r="E296" s="35" t="s">
        <v>30</v>
      </c>
      <c r="F296" s="35" t="s">
        <v>25</v>
      </c>
      <c r="G296" s="35" t="s">
        <v>25</v>
      </c>
      <c r="H296" s="35" t="s">
        <v>25</v>
      </c>
      <c r="I296" s="54">
        <v>44501</v>
      </c>
      <c r="J296" s="55">
        <f>EFEITO!$J$296*EFEITO!$Y$249</f>
        <v>0</v>
      </c>
      <c r="K296" s="55">
        <f ca="1">EFEITO!$L$296*EFEITO!$Z$320</f>
        <v>3235.3520018400814</v>
      </c>
      <c r="L296" s="55">
        <f>EFEITO!$N$296*EFEITO!$AA$320</f>
        <v>1827.8784829462152</v>
      </c>
      <c r="M296" s="55">
        <f>$J$296-EFEITO!$K$296*EFEITO!$Y$296</f>
        <v>0</v>
      </c>
      <c r="N296" s="55">
        <f ca="1">$K$296-EFEITO!$M$296*EFEITO!$Z$296</f>
        <v>1294.1408007360324</v>
      </c>
      <c r="O296" s="55">
        <f>$L$296-EFEITO!$O$296*EFEITO!$AA$296</f>
        <v>731.15139317848593</v>
      </c>
      <c r="P296" s="39"/>
      <c r="Q296" s="39"/>
      <c r="R296" s="39"/>
      <c r="S296" s="39"/>
      <c r="T296" s="39"/>
      <c r="U296" s="39"/>
      <c r="V296" s="39"/>
      <c r="W296" s="3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5" t="s">
        <v>21</v>
      </c>
      <c r="B297" s="35" t="s">
        <v>22</v>
      </c>
      <c r="C297" s="35" t="s">
        <v>23</v>
      </c>
      <c r="D297" s="35" t="s">
        <v>24</v>
      </c>
      <c r="E297" s="35" t="s">
        <v>30</v>
      </c>
      <c r="F297" s="35" t="s">
        <v>25</v>
      </c>
      <c r="G297" s="35" t="s">
        <v>25</v>
      </c>
      <c r="H297" s="35" t="s">
        <v>25</v>
      </c>
      <c r="I297" s="54">
        <v>44531</v>
      </c>
      <c r="J297" s="55">
        <f>EFEITO!$J$297*EFEITO!$Y$249</f>
        <v>0</v>
      </c>
      <c r="K297" s="55">
        <f ca="1">EFEITO!$L$297*EFEITO!$Z$320</f>
        <v>3613.1051114077354</v>
      </c>
      <c r="L297" s="55">
        <f>EFEITO!$N$297*EFEITO!$AA$320</f>
        <v>2041.2978513648695</v>
      </c>
      <c r="M297" s="55">
        <f>$J$297-EFEITO!$K$297*EFEITO!$Y$297</f>
        <v>0</v>
      </c>
      <c r="N297" s="55">
        <f ca="1">$K$297-EFEITO!$M$297*EFEITO!$Z$297</f>
        <v>1445.2420445630942</v>
      </c>
      <c r="O297" s="55">
        <f>$L$297-EFEITO!$O$297*EFEITO!$AA$297</f>
        <v>816.51914054594772</v>
      </c>
      <c r="P297" s="39"/>
      <c r="Q297" s="39"/>
      <c r="R297" s="39"/>
      <c r="S297" s="39"/>
      <c r="T297" s="39"/>
      <c r="U297" s="39"/>
      <c r="V297" s="39"/>
      <c r="W297" s="3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5" t="s">
        <v>21</v>
      </c>
      <c r="B298" s="35" t="s">
        <v>22</v>
      </c>
      <c r="C298" s="35" t="s">
        <v>23</v>
      </c>
      <c r="D298" s="35" t="s">
        <v>24</v>
      </c>
      <c r="E298" s="35" t="s">
        <v>30</v>
      </c>
      <c r="F298" s="35" t="s">
        <v>25</v>
      </c>
      <c r="G298" s="35" t="s">
        <v>25</v>
      </c>
      <c r="H298" s="35" t="s">
        <v>25</v>
      </c>
      <c r="I298" s="54">
        <v>44562</v>
      </c>
      <c r="J298" s="55">
        <f>EFEITO!$J$298*EFEITO!$Y$249</f>
        <v>0</v>
      </c>
      <c r="K298" s="55">
        <f ca="1">EFEITO!$L$298*EFEITO!$Z$320</f>
        <v>3551.4043428597606</v>
      </c>
      <c r="L298" s="55">
        <f>EFEITO!$N$298*EFEITO!$AA$320</f>
        <v>2006.4387364537424</v>
      </c>
      <c r="M298" s="55">
        <f>$J$298-EFEITO!$K$298*EFEITO!$Y$298</f>
        <v>0</v>
      </c>
      <c r="N298" s="55">
        <f ca="1">$K$298-EFEITO!$M$298*EFEITO!$Z$298</f>
        <v>1420.5617371439043</v>
      </c>
      <c r="O298" s="55">
        <f>$L$298-EFEITO!$O$298*EFEITO!$AA$298</f>
        <v>802.57549458149697</v>
      </c>
      <c r="P298" s="39"/>
      <c r="Q298" s="39"/>
      <c r="R298" s="39"/>
      <c r="S298" s="39"/>
      <c r="T298" s="39"/>
      <c r="U298" s="39"/>
      <c r="V298" s="39"/>
      <c r="W298" s="3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5" t="s">
        <v>27</v>
      </c>
      <c r="B299" s="35" t="s">
        <v>22</v>
      </c>
      <c r="C299" s="35" t="s">
        <v>23</v>
      </c>
      <c r="D299" s="35" t="s">
        <v>24</v>
      </c>
      <c r="E299" s="35" t="s">
        <v>30</v>
      </c>
      <c r="F299" s="35" t="s">
        <v>25</v>
      </c>
      <c r="G299" s="35" t="s">
        <v>25</v>
      </c>
      <c r="H299" s="35" t="s">
        <v>25</v>
      </c>
      <c r="I299" s="54">
        <v>44562</v>
      </c>
      <c r="J299" s="55">
        <f>EFEITO!$J$299*EFEITO!$Y$249</f>
        <v>0</v>
      </c>
      <c r="K299" s="55">
        <f ca="1">EFEITO!$L$299*EFEITO!$Z$320</f>
        <v>-22.973690416799119</v>
      </c>
      <c r="L299" s="55">
        <f>EFEITO!$N$299*EFEITO!$AA$320</f>
        <v>-12.979457679674891</v>
      </c>
      <c r="M299" s="55">
        <f>$J$299-EFEITO!$K$299*EFEITO!$Y$299</f>
        <v>0</v>
      </c>
      <c r="N299" s="55">
        <f ca="1">$K$299-EFEITO!$M$299*EFEITO!$Z$299</f>
        <v>-9.189476166719647</v>
      </c>
      <c r="O299" s="55">
        <f>$L$299-EFEITO!$O$299*EFEITO!$AA$299</f>
        <v>-5.1917830718699562</v>
      </c>
      <c r="P299" s="39"/>
      <c r="Q299" s="39"/>
      <c r="R299" s="39"/>
      <c r="S299" s="39"/>
      <c r="T299" s="39"/>
      <c r="U299" s="39"/>
      <c r="V299" s="39"/>
      <c r="W299" s="3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5" t="s">
        <v>21</v>
      </c>
      <c r="B300" s="35" t="s">
        <v>22</v>
      </c>
      <c r="C300" s="35" t="s">
        <v>23</v>
      </c>
      <c r="D300" s="35" t="s">
        <v>24</v>
      </c>
      <c r="E300" s="35" t="s">
        <v>30</v>
      </c>
      <c r="F300" s="35" t="s">
        <v>25</v>
      </c>
      <c r="G300" s="35" t="s">
        <v>25</v>
      </c>
      <c r="H300" s="35" t="s">
        <v>25</v>
      </c>
      <c r="I300" s="54">
        <v>44593</v>
      </c>
      <c r="J300" s="55">
        <f>EFEITO!$J$300*EFEITO!$Y$249</f>
        <v>0</v>
      </c>
      <c r="K300" s="55">
        <f ca="1">EFEITO!$L$300*EFEITO!$Z$320</f>
        <v>4046.3232735530905</v>
      </c>
      <c r="L300" s="55">
        <f>EFEITO!$N$300*EFEITO!$AA$320</f>
        <v>2286.0533390387386</v>
      </c>
      <c r="M300" s="55">
        <f>$J$300-EFEITO!$K$300*EFEITO!$Y$300</f>
        <v>0</v>
      </c>
      <c r="N300" s="55">
        <f ca="1">$K$300-EFEITO!$M$300*EFEITO!$Z$300</f>
        <v>1618.5293094212361</v>
      </c>
      <c r="O300" s="55">
        <f>$L$300-EFEITO!$O$300*EFEITO!$AA$300</f>
        <v>914.42133561549531</v>
      </c>
      <c r="P300" s="39"/>
      <c r="Q300" s="39"/>
      <c r="R300" s="39"/>
      <c r="S300" s="39"/>
      <c r="T300" s="39"/>
      <c r="U300" s="39"/>
      <c r="V300" s="39"/>
      <c r="W300" s="3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5" t="s">
        <v>21</v>
      </c>
      <c r="B301" s="35" t="s">
        <v>22</v>
      </c>
      <c r="C301" s="35" t="s">
        <v>23</v>
      </c>
      <c r="D301" s="35" t="s">
        <v>24</v>
      </c>
      <c r="E301" s="35" t="s">
        <v>30</v>
      </c>
      <c r="F301" s="35" t="s">
        <v>25</v>
      </c>
      <c r="G301" s="35" t="s">
        <v>25</v>
      </c>
      <c r="H301" s="35" t="s">
        <v>25</v>
      </c>
      <c r="I301" s="54">
        <v>44621</v>
      </c>
      <c r="J301" s="55">
        <f>EFEITO!$J$301*EFEITO!$Y$249</f>
        <v>0</v>
      </c>
      <c r="K301" s="55">
        <f ca="1">EFEITO!$L$301*EFEITO!$Z$320</f>
        <v>4850.4024381410591</v>
      </c>
      <c r="L301" s="55">
        <f>EFEITO!$N$301*EFEITO!$AA$320</f>
        <v>2740.3343578273598</v>
      </c>
      <c r="M301" s="55">
        <f>$J$301-EFEITO!$K$301*EFEITO!$Y$301</f>
        <v>0</v>
      </c>
      <c r="N301" s="55">
        <f ca="1">$K$301-EFEITO!$M$301*EFEITO!$Z$301</f>
        <v>1940.1609752564232</v>
      </c>
      <c r="O301" s="55">
        <f>$L$301-EFEITO!$O$301*EFEITO!$AA$301</f>
        <v>1096.1337431309439</v>
      </c>
      <c r="P301" s="39"/>
      <c r="Q301" s="39"/>
      <c r="R301" s="39"/>
      <c r="S301" s="39"/>
      <c r="T301" s="39"/>
      <c r="U301" s="39"/>
      <c r="V301" s="39"/>
      <c r="W301" s="3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5" t="s">
        <v>21</v>
      </c>
      <c r="B302" s="35" t="s">
        <v>22</v>
      </c>
      <c r="C302" s="35" t="s">
        <v>23</v>
      </c>
      <c r="D302" s="35" t="s">
        <v>24</v>
      </c>
      <c r="E302" s="35" t="s">
        <v>30</v>
      </c>
      <c r="F302" s="35" t="s">
        <v>25</v>
      </c>
      <c r="G302" s="35" t="s">
        <v>25</v>
      </c>
      <c r="H302" s="35" t="s">
        <v>25</v>
      </c>
      <c r="I302" s="54">
        <v>44652</v>
      </c>
      <c r="J302" s="55">
        <f>EFEITO!$J$302*EFEITO!$Y$249</f>
        <v>0</v>
      </c>
      <c r="K302" s="55">
        <f ca="1">EFEITO!$L$302*EFEITO!$Z$320</f>
        <v>4960.0197609869292</v>
      </c>
      <c r="L302" s="55">
        <f>EFEITO!$N$302*EFEITO!$AA$320</f>
        <v>2802.2649130418085</v>
      </c>
      <c r="M302" s="55">
        <f>$J$302-EFEITO!$K$302*EFEITO!$Y$302</f>
        <v>0</v>
      </c>
      <c r="N302" s="55">
        <f ca="1">$K$302-EFEITO!$M$302*EFEITO!$Z$302</f>
        <v>1984.0079043947717</v>
      </c>
      <c r="O302" s="55">
        <f>$L$302-EFEITO!$O$302*EFEITO!$AA$302</f>
        <v>1120.9059652167234</v>
      </c>
      <c r="P302" s="39"/>
      <c r="Q302" s="39"/>
      <c r="R302" s="39"/>
      <c r="S302" s="39"/>
      <c r="T302" s="39"/>
      <c r="U302" s="39"/>
      <c r="V302" s="39"/>
      <c r="W302" s="3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5" t="s">
        <v>21</v>
      </c>
      <c r="B303" s="35" t="s">
        <v>22</v>
      </c>
      <c r="C303" s="35" t="s">
        <v>23</v>
      </c>
      <c r="D303" s="35" t="s">
        <v>24</v>
      </c>
      <c r="E303" s="35" t="s">
        <v>30</v>
      </c>
      <c r="F303" s="35" t="s">
        <v>25</v>
      </c>
      <c r="G303" s="35" t="s">
        <v>25</v>
      </c>
      <c r="H303" s="35" t="s">
        <v>25</v>
      </c>
      <c r="I303" s="54">
        <v>44682</v>
      </c>
      <c r="J303" s="55">
        <f>EFEITO!$J$303*EFEITO!$Y$249</f>
        <v>0</v>
      </c>
      <c r="K303" s="55">
        <f ca="1">EFEITO!$L$303*EFEITO!$Z$320</f>
        <v>4992.8393187252132</v>
      </c>
      <c r="L303" s="55">
        <f>EFEITO!$N$303*EFEITO!$AA$320</f>
        <v>2820.806995441344</v>
      </c>
      <c r="M303" s="55">
        <f>$J$303-EFEITO!$K$303*EFEITO!$Y$303</f>
        <v>0</v>
      </c>
      <c r="N303" s="55">
        <f ca="1">$K$303-EFEITO!$M$303*EFEITO!$Z$303</f>
        <v>1997.1357274900847</v>
      </c>
      <c r="O303" s="55">
        <f>$L$303-EFEITO!$O$303*EFEITO!$AA$303</f>
        <v>1128.3227981765376</v>
      </c>
      <c r="P303" s="39"/>
      <c r="Q303" s="39"/>
      <c r="R303" s="39"/>
      <c r="S303" s="39"/>
      <c r="T303" s="39"/>
      <c r="U303" s="39"/>
      <c r="V303" s="39"/>
      <c r="W303" s="3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5" t="s">
        <v>21</v>
      </c>
      <c r="B304" s="35" t="s">
        <v>22</v>
      </c>
      <c r="C304" s="35" t="s">
        <v>23</v>
      </c>
      <c r="D304" s="35" t="s">
        <v>24</v>
      </c>
      <c r="E304" s="35" t="s">
        <v>30</v>
      </c>
      <c r="F304" s="35" t="s">
        <v>25</v>
      </c>
      <c r="G304" s="35" t="s">
        <v>25</v>
      </c>
      <c r="H304" s="35" t="s">
        <v>25</v>
      </c>
      <c r="I304" s="54">
        <v>44713</v>
      </c>
      <c r="J304" s="55">
        <f>EFEITO!$J$304*EFEITO!$Y$249</f>
        <v>0</v>
      </c>
      <c r="K304" s="55">
        <f ca="1">EFEITO!$L$304*EFEITO!$Z$320</f>
        <v>4550.7598759905222</v>
      </c>
      <c r="L304" s="55">
        <f>EFEITO!$N$304*EFEITO!$AA$320</f>
        <v>2571.0451455196003</v>
      </c>
      <c r="M304" s="55">
        <f>$J$304-EFEITO!$K$304*EFEITO!$Y$304</f>
        <v>0</v>
      </c>
      <c r="N304" s="55">
        <f ca="1">$K$304-EFEITO!$M$304*EFEITO!$Z$304</f>
        <v>1820.3039503962086</v>
      </c>
      <c r="O304" s="55">
        <f>$L$304-EFEITO!$O$304*EFEITO!$AA$304</f>
        <v>1028.4180582078402</v>
      </c>
      <c r="P304" s="39"/>
      <c r="Q304" s="39"/>
      <c r="R304" s="39"/>
      <c r="S304" s="39"/>
      <c r="T304" s="39"/>
      <c r="U304" s="39"/>
      <c r="V304" s="39"/>
      <c r="W304" s="3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5" t="s">
        <v>21</v>
      </c>
      <c r="B305" s="35" t="s">
        <v>22</v>
      </c>
      <c r="C305" s="35" t="s">
        <v>23</v>
      </c>
      <c r="D305" s="35" t="s">
        <v>24</v>
      </c>
      <c r="E305" s="35" t="s">
        <v>30</v>
      </c>
      <c r="F305" s="35" t="s">
        <v>25</v>
      </c>
      <c r="G305" s="35" t="s">
        <v>25</v>
      </c>
      <c r="H305" s="35" t="s">
        <v>25</v>
      </c>
      <c r="I305" s="54">
        <v>44743</v>
      </c>
      <c r="J305" s="55">
        <f>EFEITO!$J$305*EFEITO!$Y$249</f>
        <v>0</v>
      </c>
      <c r="K305" s="55">
        <f ca="1">EFEITO!$L$305*EFEITO!$Z$320</f>
        <v>4561.590330044156</v>
      </c>
      <c r="L305" s="55">
        <f>EFEITO!$N$305*EFEITO!$AA$320</f>
        <v>2577.1640327114469</v>
      </c>
      <c r="M305" s="55">
        <f>$J$305-EFEITO!$K$305*EFEITO!$Y$305</f>
        <v>0</v>
      </c>
      <c r="N305" s="55">
        <f ca="1">$K$305-EFEITO!$M$305*EFEITO!$Z$305</f>
        <v>1824.6361320176625</v>
      </c>
      <c r="O305" s="55">
        <f>$L$305-EFEITO!$O$305*EFEITO!$AA$305</f>
        <v>1030.8656130845789</v>
      </c>
      <c r="P305" s="39"/>
      <c r="Q305" s="39"/>
      <c r="R305" s="39"/>
      <c r="S305" s="39"/>
      <c r="T305" s="39"/>
      <c r="U305" s="39"/>
      <c r="V305" s="39"/>
      <c r="W305" s="3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5" t="s">
        <v>21</v>
      </c>
      <c r="B306" s="35" t="s">
        <v>22</v>
      </c>
      <c r="C306" s="35" t="s">
        <v>23</v>
      </c>
      <c r="D306" s="35" t="s">
        <v>24</v>
      </c>
      <c r="E306" s="35" t="s">
        <v>30</v>
      </c>
      <c r="F306" s="35" t="s">
        <v>25</v>
      </c>
      <c r="G306" s="35" t="s">
        <v>25</v>
      </c>
      <c r="H306" s="35" t="s">
        <v>25</v>
      </c>
      <c r="I306" s="54">
        <v>44774</v>
      </c>
      <c r="J306" s="55">
        <f>EFEITO!$J$306*EFEITO!$Y$249</f>
        <v>0</v>
      </c>
      <c r="K306" s="55">
        <f ca="1">EFEITO!$L$306*EFEITO!$Z$320</f>
        <v>4511.0482111271976</v>
      </c>
      <c r="L306" s="55">
        <f>EFEITO!$N$306*EFEITO!$AA$320</f>
        <v>2548.6092258161621</v>
      </c>
      <c r="M306" s="55">
        <f>$J$306-EFEITO!$K$306*EFEITO!$Y$306</f>
        <v>0</v>
      </c>
      <c r="N306" s="55">
        <f ca="1">$K$306-EFEITO!$M$306*EFEITO!$Z$306</f>
        <v>1804.4192844508789</v>
      </c>
      <c r="O306" s="55">
        <f>$L$306-EFEITO!$O$306*EFEITO!$AA$306</f>
        <v>1019.4436903264648</v>
      </c>
      <c r="P306" s="39"/>
      <c r="Q306" s="39"/>
      <c r="R306" s="39"/>
      <c r="S306" s="39"/>
      <c r="T306" s="39"/>
      <c r="U306" s="39"/>
      <c r="V306" s="39"/>
      <c r="W306" s="3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5" t="s">
        <v>21</v>
      </c>
      <c r="B307" s="35" t="s">
        <v>22</v>
      </c>
      <c r="C307" s="35" t="s">
        <v>23</v>
      </c>
      <c r="D307" s="35" t="s">
        <v>24</v>
      </c>
      <c r="E307" s="35" t="s">
        <v>31</v>
      </c>
      <c r="F307" s="35" t="s">
        <v>25</v>
      </c>
      <c r="G307" s="35" t="s">
        <v>25</v>
      </c>
      <c r="H307" s="35" t="s">
        <v>25</v>
      </c>
      <c r="I307" s="54">
        <v>44440</v>
      </c>
      <c r="J307" s="55">
        <f>EFEITO!$J$307*EFEITO!$Y$249</f>
        <v>0</v>
      </c>
      <c r="K307" s="55">
        <f ca="1">EFEITO!$L$307*EFEITO!$Z$320</f>
        <v>2831.9996372365654</v>
      </c>
      <c r="L307" s="55">
        <f>EFEITO!$N$307*EFEITO!$AA$320</f>
        <v>1599.996290255923</v>
      </c>
      <c r="M307" s="55">
        <f>$J$307-EFEITO!$K$307*EFEITO!$Y$307</f>
        <v>0</v>
      </c>
      <c r="N307" s="55">
        <f ca="1">$K$307-EFEITO!$M$307*EFEITO!$Z$307</f>
        <v>283.19996372365677</v>
      </c>
      <c r="O307" s="55">
        <f>$L$307-EFEITO!$O$307*EFEITO!$AA$307</f>
        <v>159.99962902559218</v>
      </c>
      <c r="P307" s="39"/>
      <c r="Q307" s="39"/>
      <c r="R307" s="39"/>
      <c r="S307" s="39"/>
      <c r="T307" s="39"/>
      <c r="U307" s="39"/>
      <c r="V307" s="39"/>
      <c r="W307" s="3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5" t="s">
        <v>21</v>
      </c>
      <c r="B308" s="35" t="s">
        <v>22</v>
      </c>
      <c r="C308" s="35" t="s">
        <v>23</v>
      </c>
      <c r="D308" s="35" t="s">
        <v>24</v>
      </c>
      <c r="E308" s="35" t="s">
        <v>31</v>
      </c>
      <c r="F308" s="35" t="s">
        <v>25</v>
      </c>
      <c r="G308" s="35" t="s">
        <v>25</v>
      </c>
      <c r="H308" s="35" t="s">
        <v>25</v>
      </c>
      <c r="I308" s="54">
        <v>44470</v>
      </c>
      <c r="J308" s="55">
        <f>EFEITO!$J$308*EFEITO!$Y$249</f>
        <v>0</v>
      </c>
      <c r="K308" s="55">
        <f ca="1">EFEITO!$L$308*EFEITO!$Z$320</f>
        <v>3034.1681129043973</v>
      </c>
      <c r="L308" s="55">
        <f>EFEITO!$N$308*EFEITO!$AA$320</f>
        <v>1714.215517837062</v>
      </c>
      <c r="M308" s="55">
        <f>$J$308-EFEITO!$K$308*EFEITO!$Y$308</f>
        <v>0</v>
      </c>
      <c r="N308" s="55">
        <f ca="1">$K$308-EFEITO!$M$308*EFEITO!$Z$308</f>
        <v>303.41681129043945</v>
      </c>
      <c r="O308" s="55">
        <f>$L$308-EFEITO!$O$308*EFEITO!$AA$308</f>
        <v>171.42155178370626</v>
      </c>
      <c r="P308" s="39"/>
      <c r="Q308" s="39"/>
      <c r="R308" s="39"/>
      <c r="S308" s="39"/>
      <c r="T308" s="39"/>
      <c r="U308" s="39"/>
      <c r="V308" s="39"/>
      <c r="W308" s="3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5" t="s">
        <v>21</v>
      </c>
      <c r="B309" s="35" t="s">
        <v>22</v>
      </c>
      <c r="C309" s="35" t="s">
        <v>23</v>
      </c>
      <c r="D309" s="35" t="s">
        <v>24</v>
      </c>
      <c r="E309" s="35" t="s">
        <v>31</v>
      </c>
      <c r="F309" s="35" t="s">
        <v>25</v>
      </c>
      <c r="G309" s="35" t="s">
        <v>25</v>
      </c>
      <c r="H309" s="35" t="s">
        <v>25</v>
      </c>
      <c r="I309" s="54">
        <v>44501</v>
      </c>
      <c r="J309" s="55">
        <f>EFEITO!$J$309*EFEITO!$Y$249</f>
        <v>0</v>
      </c>
      <c r="K309" s="55">
        <f ca="1">EFEITO!$L$309*EFEITO!$Z$320</f>
        <v>2878.9316048023124</v>
      </c>
      <c r="L309" s="55">
        <f>EFEITO!$N$309*EFEITO!$AA$320</f>
        <v>1626.5114680872591</v>
      </c>
      <c r="M309" s="55">
        <f>$J$309-EFEITO!$K$309*EFEITO!$Y$309</f>
        <v>0</v>
      </c>
      <c r="N309" s="55">
        <f ca="1">$K$309-EFEITO!$M$309*EFEITO!$Z$309</f>
        <v>287.89316048023147</v>
      </c>
      <c r="O309" s="55">
        <f>$L$309-EFEITO!$O$309*EFEITO!$AA$309</f>
        <v>162.65114680872603</v>
      </c>
      <c r="P309" s="39"/>
      <c r="Q309" s="39"/>
      <c r="R309" s="39"/>
      <c r="S309" s="39"/>
      <c r="T309" s="39"/>
      <c r="U309" s="39"/>
      <c r="V309" s="39"/>
      <c r="W309" s="3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5" t="s">
        <v>21</v>
      </c>
      <c r="B310" s="35" t="s">
        <v>22</v>
      </c>
      <c r="C310" s="35" t="s">
        <v>23</v>
      </c>
      <c r="D310" s="35" t="s">
        <v>24</v>
      </c>
      <c r="E310" s="35" t="s">
        <v>31</v>
      </c>
      <c r="F310" s="35" t="s">
        <v>25</v>
      </c>
      <c r="G310" s="35" t="s">
        <v>25</v>
      </c>
      <c r="H310" s="35" t="s">
        <v>25</v>
      </c>
      <c r="I310" s="54">
        <v>44531</v>
      </c>
      <c r="J310" s="55">
        <f>EFEITO!$J$310*EFEITO!$Y$249</f>
        <v>0</v>
      </c>
      <c r="K310" s="55">
        <f ca="1">EFEITO!$L$310*EFEITO!$Z$320</f>
        <v>3689.5746809379384</v>
      </c>
      <c r="L310" s="55">
        <f>EFEITO!$N$310*EFEITO!$AA$320</f>
        <v>2084.5009033557876</v>
      </c>
      <c r="M310" s="55">
        <f>$J$310-EFEITO!$K$310*EFEITO!$Y$310</f>
        <v>0</v>
      </c>
      <c r="N310" s="55">
        <f ca="1">$K$310-EFEITO!$M$310*EFEITO!$Z$310</f>
        <v>368.95746809379398</v>
      </c>
      <c r="O310" s="55">
        <f>$L$310-EFEITO!$O$310*EFEITO!$AA$310</f>
        <v>208.45009033557903</v>
      </c>
      <c r="P310" s="39"/>
      <c r="Q310" s="39"/>
      <c r="R310" s="39"/>
      <c r="S310" s="39"/>
      <c r="T310" s="39"/>
      <c r="U310" s="39"/>
      <c r="V310" s="39"/>
      <c r="W310" s="3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5" t="s">
        <v>21</v>
      </c>
      <c r="B311" s="35" t="s">
        <v>22</v>
      </c>
      <c r="C311" s="35" t="s">
        <v>23</v>
      </c>
      <c r="D311" s="35" t="s">
        <v>24</v>
      </c>
      <c r="E311" s="35" t="s">
        <v>31</v>
      </c>
      <c r="F311" s="35" t="s">
        <v>25</v>
      </c>
      <c r="G311" s="35" t="s">
        <v>25</v>
      </c>
      <c r="H311" s="35" t="s">
        <v>25</v>
      </c>
      <c r="I311" s="54">
        <v>44562</v>
      </c>
      <c r="J311" s="55">
        <f>EFEITO!$J$311*EFEITO!$Y$249</f>
        <v>0</v>
      </c>
      <c r="K311" s="55">
        <f ca="1">EFEITO!$L$311*EFEITO!$Z$320</f>
        <v>3475.2629689069408</v>
      </c>
      <c r="L311" s="55">
        <f>EFEITO!$N$311*EFEITO!$AA$320</f>
        <v>1963.4211052868202</v>
      </c>
      <c r="M311" s="55">
        <f>$J$311-EFEITO!$K$311*EFEITO!$Y$311</f>
        <v>0</v>
      </c>
      <c r="N311" s="55">
        <f ca="1">$K$311-EFEITO!$M$311*EFEITO!$Z$311</f>
        <v>347.52629689069408</v>
      </c>
      <c r="O311" s="55">
        <f>$L$311-EFEITO!$O$311*EFEITO!$AA$311</f>
        <v>196.34211052868204</v>
      </c>
      <c r="P311" s="39"/>
      <c r="Q311" s="39"/>
      <c r="R311" s="39"/>
      <c r="S311" s="39"/>
      <c r="T311" s="39"/>
      <c r="U311" s="39"/>
      <c r="V311" s="39"/>
      <c r="W311" s="3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5" t="s">
        <v>27</v>
      </c>
      <c r="B312" s="35" t="s">
        <v>22</v>
      </c>
      <c r="C312" s="35" t="s">
        <v>23</v>
      </c>
      <c r="D312" s="35" t="s">
        <v>24</v>
      </c>
      <c r="E312" s="35" t="s">
        <v>31</v>
      </c>
      <c r="F312" s="35" t="s">
        <v>25</v>
      </c>
      <c r="G312" s="35" t="s">
        <v>25</v>
      </c>
      <c r="H312" s="35" t="s">
        <v>25</v>
      </c>
      <c r="I312" s="54">
        <v>44562</v>
      </c>
      <c r="J312" s="55">
        <f>EFEITO!$J$312*EFEITO!$Y$249</f>
        <v>0</v>
      </c>
      <c r="K312" s="55">
        <f ca="1">EFEITO!$L$312*EFEITO!$Z$320</f>
        <v>-37.086100244261431</v>
      </c>
      <c r="L312" s="55">
        <f>EFEITO!$N$312*EFEITO!$AA$320</f>
        <v>-20.952553111475179</v>
      </c>
      <c r="M312" s="55">
        <f>$J$312-EFEITO!$K$312*EFEITO!$Y$312</f>
        <v>0</v>
      </c>
      <c r="N312" s="55">
        <f ca="1">$K$312-EFEITO!$M$312*EFEITO!$Z$312</f>
        <v>-3.7086100244261431</v>
      </c>
      <c r="O312" s="55">
        <f>$L$312-EFEITO!$O$312*EFEITO!$AA$312</f>
        <v>-2.0952553111475183</v>
      </c>
      <c r="P312" s="39"/>
      <c r="Q312" s="39"/>
      <c r="R312" s="39"/>
      <c r="S312" s="39"/>
      <c r="T312" s="39"/>
      <c r="U312" s="39"/>
      <c r="V312" s="39"/>
      <c r="W312" s="3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5" t="s">
        <v>21</v>
      </c>
      <c r="B313" s="35" t="s">
        <v>22</v>
      </c>
      <c r="C313" s="35" t="s">
        <v>23</v>
      </c>
      <c r="D313" s="35" t="s">
        <v>24</v>
      </c>
      <c r="E313" s="35" t="s">
        <v>31</v>
      </c>
      <c r="F313" s="35" t="s">
        <v>25</v>
      </c>
      <c r="G313" s="35" t="s">
        <v>25</v>
      </c>
      <c r="H313" s="35" t="s">
        <v>25</v>
      </c>
      <c r="I313" s="54">
        <v>44593</v>
      </c>
      <c r="J313" s="55">
        <f>EFEITO!$J$313*EFEITO!$Y$249</f>
        <v>0</v>
      </c>
      <c r="K313" s="55">
        <f ca="1">EFEITO!$L$313*EFEITO!$Z$320</f>
        <v>3894.6969168022165</v>
      </c>
      <c r="L313" s="55">
        <f>EFEITO!$N$313*EFEITO!$AA$320</f>
        <v>2200.3889183528845</v>
      </c>
      <c r="M313" s="55">
        <f>$J$313-EFEITO!$K$313*EFEITO!$Y$313</f>
        <v>0</v>
      </c>
      <c r="N313" s="55">
        <f ca="1">$K$313-EFEITO!$M$313*EFEITO!$Z$313</f>
        <v>389.46969168022179</v>
      </c>
      <c r="O313" s="55">
        <f>$L$313-EFEITO!$O$313*EFEITO!$AA$313</f>
        <v>220.03889183528827</v>
      </c>
      <c r="P313" s="39"/>
      <c r="Q313" s="39"/>
      <c r="R313" s="39"/>
      <c r="S313" s="39"/>
      <c r="T313" s="39"/>
      <c r="U313" s="39"/>
      <c r="V313" s="39"/>
      <c r="W313" s="3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5" t="s">
        <v>21</v>
      </c>
      <c r="B314" s="35" t="s">
        <v>22</v>
      </c>
      <c r="C314" s="35" t="s">
        <v>23</v>
      </c>
      <c r="D314" s="35" t="s">
        <v>24</v>
      </c>
      <c r="E314" s="35" t="s">
        <v>31</v>
      </c>
      <c r="F314" s="35" t="s">
        <v>25</v>
      </c>
      <c r="G314" s="35" t="s">
        <v>25</v>
      </c>
      <c r="H314" s="35" t="s">
        <v>25</v>
      </c>
      <c r="I314" s="54">
        <v>44621</v>
      </c>
      <c r="J314" s="55">
        <f>EFEITO!$J$314*EFEITO!$Y$249</f>
        <v>0</v>
      </c>
      <c r="K314" s="55">
        <f ca="1">EFEITO!$L$314*EFEITO!$Z$320</f>
        <v>4798.5475369145697</v>
      </c>
      <c r="L314" s="55">
        <f>EFEITO!$N$314*EFEITO!$AA$320</f>
        <v>2711.0378676360938</v>
      </c>
      <c r="M314" s="55">
        <f>$J$314-EFEITO!$K$314*EFEITO!$Y$314</f>
        <v>0</v>
      </c>
      <c r="N314" s="55">
        <f ca="1">$K$314-EFEITO!$M$314*EFEITO!$Z$314</f>
        <v>479.85475369145661</v>
      </c>
      <c r="O314" s="55">
        <f>$L$314-EFEITO!$O$314*EFEITO!$AA$314</f>
        <v>271.10378676360961</v>
      </c>
      <c r="P314" s="39"/>
      <c r="Q314" s="39"/>
      <c r="R314" s="39"/>
      <c r="S314" s="39"/>
      <c r="T314" s="39"/>
      <c r="U314" s="39"/>
      <c r="V314" s="39"/>
      <c r="W314" s="3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5" t="s">
        <v>21</v>
      </c>
      <c r="B315" s="35" t="s">
        <v>22</v>
      </c>
      <c r="C315" s="35" t="s">
        <v>23</v>
      </c>
      <c r="D315" s="35" t="s">
        <v>24</v>
      </c>
      <c r="E315" s="35" t="s">
        <v>31</v>
      </c>
      <c r="F315" s="35" t="s">
        <v>25</v>
      </c>
      <c r="G315" s="35" t="s">
        <v>25</v>
      </c>
      <c r="H315" s="35" t="s">
        <v>25</v>
      </c>
      <c r="I315" s="54">
        <v>44652</v>
      </c>
      <c r="J315" s="55">
        <f>EFEITO!$J$315*EFEITO!$Y$249</f>
        <v>0</v>
      </c>
      <c r="K315" s="55">
        <f ca="1">EFEITO!$L$315*EFEITO!$Z$320</f>
        <v>4565.2004813953672</v>
      </c>
      <c r="L315" s="55">
        <f>EFEITO!$N$315*EFEITO!$AA$320</f>
        <v>2579.2036617753961</v>
      </c>
      <c r="M315" s="55">
        <f>$J$315-EFEITO!$K$315*EFEITO!$Y$315</f>
        <v>0</v>
      </c>
      <c r="N315" s="55">
        <f ca="1">$K$315-EFEITO!$M$315*EFEITO!$Z$315</f>
        <v>456.52004813953681</v>
      </c>
      <c r="O315" s="55">
        <f>$L$315-EFEITO!$O$315*EFEITO!$AA$315</f>
        <v>257.92036617754002</v>
      </c>
      <c r="P315" s="39"/>
      <c r="Q315" s="39"/>
      <c r="R315" s="39"/>
      <c r="S315" s="39"/>
      <c r="T315" s="39"/>
      <c r="U315" s="39"/>
      <c r="V315" s="39"/>
      <c r="W315" s="3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5" t="s">
        <v>21</v>
      </c>
      <c r="B316" s="35" t="s">
        <v>22</v>
      </c>
      <c r="C316" s="35" t="s">
        <v>23</v>
      </c>
      <c r="D316" s="35" t="s">
        <v>24</v>
      </c>
      <c r="E316" s="35" t="s">
        <v>31</v>
      </c>
      <c r="F316" s="35" t="s">
        <v>25</v>
      </c>
      <c r="G316" s="35" t="s">
        <v>25</v>
      </c>
      <c r="H316" s="35" t="s">
        <v>25</v>
      </c>
      <c r="I316" s="54">
        <v>44682</v>
      </c>
      <c r="J316" s="55">
        <f>EFEITO!$J$316*EFEITO!$Y$249</f>
        <v>0</v>
      </c>
      <c r="K316" s="55">
        <f ca="1">EFEITO!$L$316*EFEITO!$Z$320</f>
        <v>4432.2812725553158</v>
      </c>
      <c r="L316" s="55">
        <f>EFEITO!$N$316*EFEITO!$AA$320</f>
        <v>2504.1082280572768</v>
      </c>
      <c r="M316" s="55">
        <f>$J$316-EFEITO!$K$316*EFEITO!$Y$316</f>
        <v>0</v>
      </c>
      <c r="N316" s="55">
        <f ca="1">$K$316-EFEITO!$M$316*EFEITO!$Z$316</f>
        <v>443.22812725553194</v>
      </c>
      <c r="O316" s="55">
        <f>$L$316-EFEITO!$O$316*EFEITO!$AA$316</f>
        <v>250.41082280572755</v>
      </c>
      <c r="P316" s="39"/>
      <c r="Q316" s="39"/>
      <c r="R316" s="39"/>
      <c r="S316" s="39"/>
      <c r="T316" s="39"/>
      <c r="U316" s="39"/>
      <c r="V316" s="39"/>
      <c r="W316" s="3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5" t="s">
        <v>21</v>
      </c>
      <c r="B317" s="35" t="s">
        <v>22</v>
      </c>
      <c r="C317" s="35" t="s">
        <v>23</v>
      </c>
      <c r="D317" s="35" t="s">
        <v>24</v>
      </c>
      <c r="E317" s="35" t="s">
        <v>31</v>
      </c>
      <c r="F317" s="35" t="s">
        <v>25</v>
      </c>
      <c r="G317" s="35" t="s">
        <v>25</v>
      </c>
      <c r="H317" s="35" t="s">
        <v>25</v>
      </c>
      <c r="I317" s="54">
        <v>44713</v>
      </c>
      <c r="J317" s="55">
        <f>EFEITO!$J$317*EFEITO!$Y$249</f>
        <v>0</v>
      </c>
      <c r="K317" s="55">
        <f ca="1">EFEITO!$L$317*EFEITO!$Z$320</f>
        <v>3538.2765197644471</v>
      </c>
      <c r="L317" s="55">
        <f>EFEITO!$N$317*EFEITO!$AA$320</f>
        <v>1999.0219034939284</v>
      </c>
      <c r="M317" s="55">
        <f>$J$317-EFEITO!$K$317*EFEITO!$Y$317</f>
        <v>0</v>
      </c>
      <c r="N317" s="55">
        <f ca="1">$K$317-EFEITO!$M$317*EFEITO!$Z$317</f>
        <v>353.82765197644494</v>
      </c>
      <c r="O317" s="55">
        <f>$L$317-EFEITO!$O$317*EFEITO!$AA$317</f>
        <v>199.90219034939287</v>
      </c>
      <c r="P317" s="39"/>
      <c r="Q317" s="39"/>
      <c r="R317" s="39"/>
      <c r="S317" s="39"/>
      <c r="T317" s="39"/>
      <c r="U317" s="39"/>
      <c r="V317" s="39"/>
      <c r="W317" s="3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5" t="s">
        <v>21</v>
      </c>
      <c r="B318" s="35" t="s">
        <v>22</v>
      </c>
      <c r="C318" s="35" t="s">
        <v>23</v>
      </c>
      <c r="D318" s="35" t="s">
        <v>24</v>
      </c>
      <c r="E318" s="35" t="s">
        <v>31</v>
      </c>
      <c r="F318" s="35" t="s">
        <v>25</v>
      </c>
      <c r="G318" s="35" t="s">
        <v>25</v>
      </c>
      <c r="H318" s="35" t="s">
        <v>25</v>
      </c>
      <c r="I318" s="54">
        <v>44743</v>
      </c>
      <c r="J318" s="55">
        <f>EFEITO!$J$318*EFEITO!$Y$249</f>
        <v>0</v>
      </c>
      <c r="K318" s="55">
        <f ca="1">EFEITO!$L$318*EFEITO!$Z$320</f>
        <v>3541.8866711156579</v>
      </c>
      <c r="L318" s="55">
        <f>EFEITO!$N$318*EFEITO!$AA$320</f>
        <v>2001.0615325578772</v>
      </c>
      <c r="M318" s="55">
        <f>$J$318-EFEITO!$K$318*EFEITO!$Y$318</f>
        <v>0</v>
      </c>
      <c r="N318" s="55">
        <f ca="1">$K$318-EFEITO!$M$318*EFEITO!$Z$318</f>
        <v>354.18866711156579</v>
      </c>
      <c r="O318" s="55">
        <f>$L$318-EFEITO!$O$318*EFEITO!$AA$318</f>
        <v>200.10615325578783</v>
      </c>
      <c r="P318" s="39"/>
      <c r="Q318" s="39"/>
      <c r="R318" s="39"/>
      <c r="S318" s="39"/>
      <c r="T318" s="39"/>
      <c r="U318" s="39"/>
      <c r="V318" s="39"/>
      <c r="W318" s="3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5" t="s">
        <v>21</v>
      </c>
      <c r="B319" s="35" t="s">
        <v>22</v>
      </c>
      <c r="C319" s="35" t="s">
        <v>23</v>
      </c>
      <c r="D319" s="35" t="s">
        <v>24</v>
      </c>
      <c r="E319" s="35" t="s">
        <v>31</v>
      </c>
      <c r="F319" s="35" t="s">
        <v>25</v>
      </c>
      <c r="G319" s="35" t="s">
        <v>25</v>
      </c>
      <c r="H319" s="35" t="s">
        <v>25</v>
      </c>
      <c r="I319" s="54">
        <v>44774</v>
      </c>
      <c r="J319" s="55">
        <f>EFEITO!$J$319*EFEITO!$Y$249</f>
        <v>0</v>
      </c>
      <c r="K319" s="55">
        <f ca="1">EFEITO!$L$319*EFEITO!$Z$320</f>
        <v>3356.4561698943512</v>
      </c>
      <c r="L319" s="55">
        <f>EFEITO!$N$319*EFEITO!$AA$320</f>
        <v>1896.2987670005014</v>
      </c>
      <c r="M319" s="55">
        <f>$J$319-EFEITO!$K$319*EFEITO!$Y$319</f>
        <v>0</v>
      </c>
      <c r="N319" s="55">
        <f ca="1">$K$319-EFEITO!$M$319*EFEITO!$Z$319</f>
        <v>335.64561698943544</v>
      </c>
      <c r="O319" s="55">
        <f>$L$319-EFEITO!$O$319*EFEITO!$AA$319</f>
        <v>189.62987670005009</v>
      </c>
      <c r="P319" s="39"/>
      <c r="Q319" s="39"/>
      <c r="R319" s="39"/>
      <c r="S319" s="39"/>
      <c r="T319" s="39"/>
      <c r="U319" s="39"/>
      <c r="V319" s="39"/>
      <c r="W319" s="3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5" t="s">
        <v>21</v>
      </c>
      <c r="B320" s="35" t="s">
        <v>22</v>
      </c>
      <c r="C320" s="35" t="s">
        <v>23</v>
      </c>
      <c r="D320" s="35" t="s">
        <v>24</v>
      </c>
      <c r="E320" s="35" t="s">
        <v>32</v>
      </c>
      <c r="F320" s="35" t="s">
        <v>25</v>
      </c>
      <c r="G320" s="35" t="s">
        <v>25</v>
      </c>
      <c r="H320" s="35" t="s">
        <v>25</v>
      </c>
      <c r="I320" s="54">
        <v>44440</v>
      </c>
      <c r="J320" s="55">
        <f>EFEITO!$J$320*EFEITO!$Y$249</f>
        <v>0</v>
      </c>
      <c r="K320" s="55">
        <f ca="1">EFEITO!$L$320*EFEITO!$Z$320</f>
        <v>763.0547174151136</v>
      </c>
      <c r="L320" s="55">
        <f>EFEITO!$N$320*EFEITO!$AA$320</f>
        <v>431.10341578920173</v>
      </c>
      <c r="M320" s="55">
        <f>$J$320-EFEITO!$K$320*EFEITO!$Y$320</f>
        <v>0</v>
      </c>
      <c r="N320" s="55">
        <f ca="1">$K$320-EFEITO!$M$320*EFEITO!$Z$320</f>
        <v>0</v>
      </c>
      <c r="O320" s="55">
        <f>$L$320-EFEITO!$O$320*EFEITO!$AA$320</f>
        <v>0</v>
      </c>
      <c r="P320" s="39"/>
      <c r="Q320" s="39"/>
      <c r="R320" s="39"/>
      <c r="S320" s="39"/>
      <c r="T320" s="39"/>
      <c r="U320" s="39"/>
      <c r="V320" s="39"/>
      <c r="W320" s="3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5" t="s">
        <v>21</v>
      </c>
      <c r="B321" s="35" t="s">
        <v>22</v>
      </c>
      <c r="C321" s="35" t="s">
        <v>23</v>
      </c>
      <c r="D321" s="35" t="s">
        <v>24</v>
      </c>
      <c r="E321" s="35" t="s">
        <v>32</v>
      </c>
      <c r="F321" s="35" t="s">
        <v>25</v>
      </c>
      <c r="G321" s="35" t="s">
        <v>25</v>
      </c>
      <c r="H321" s="35" t="s">
        <v>25</v>
      </c>
      <c r="I321" s="54">
        <v>44470</v>
      </c>
      <c r="J321" s="55">
        <f>EFEITO!$J$321*EFEITO!$Y$249</f>
        <v>0</v>
      </c>
      <c r="K321" s="55">
        <f ca="1">EFEITO!$L$321*EFEITO!$Z$320</f>
        <v>1011.8269650713097</v>
      </c>
      <c r="L321" s="55">
        <f>EFEITO!$N$321*EFEITO!$AA$320</f>
        <v>571.65240037768126</v>
      </c>
      <c r="M321" s="55">
        <f>$J$321-EFEITO!$K$321*EFEITO!$Y$321</f>
        <v>0</v>
      </c>
      <c r="N321" s="55">
        <f ca="1">$K$321-EFEITO!$M$321*EFEITO!$Z$321</f>
        <v>0</v>
      </c>
      <c r="O321" s="55">
        <f>$L$321-EFEITO!$O$321*EFEITO!$AA$321</f>
        <v>0</v>
      </c>
      <c r="P321" s="39"/>
      <c r="Q321" s="39"/>
      <c r="R321" s="39"/>
      <c r="S321" s="39"/>
      <c r="T321" s="39"/>
      <c r="U321" s="39"/>
      <c r="V321" s="39"/>
      <c r="W321" s="3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5" t="s">
        <v>21</v>
      </c>
      <c r="B322" s="35" t="s">
        <v>22</v>
      </c>
      <c r="C322" s="35" t="s">
        <v>23</v>
      </c>
      <c r="D322" s="35" t="s">
        <v>24</v>
      </c>
      <c r="E322" s="35" t="s">
        <v>32</v>
      </c>
      <c r="F322" s="35" t="s">
        <v>25</v>
      </c>
      <c r="G322" s="35" t="s">
        <v>25</v>
      </c>
      <c r="H322" s="35" t="s">
        <v>25</v>
      </c>
      <c r="I322" s="54">
        <v>44501</v>
      </c>
      <c r="J322" s="55">
        <f>EFEITO!$J$322*EFEITO!$Y$249</f>
        <v>0</v>
      </c>
      <c r="K322" s="55">
        <f ca="1">EFEITO!$L$322*EFEITO!$Z$320</f>
        <v>772.2441935818332</v>
      </c>
      <c r="L322" s="55">
        <f>EFEITO!$N$322*EFEITO!$AA$320</f>
        <v>436.2951988610717</v>
      </c>
      <c r="M322" s="55">
        <f>$J$322-EFEITO!$K$322*EFEITO!$Y$322</f>
        <v>0</v>
      </c>
      <c r="N322" s="55">
        <f ca="1">$K$322-EFEITO!$M$322*EFEITO!$Z$322</f>
        <v>0</v>
      </c>
      <c r="O322" s="55">
        <f>$L$322-EFEITO!$O$322*EFEITO!$AA$322</f>
        <v>0</v>
      </c>
      <c r="P322" s="39"/>
      <c r="Q322" s="39"/>
      <c r="R322" s="39"/>
      <c r="S322" s="39"/>
      <c r="T322" s="39"/>
      <c r="U322" s="39"/>
      <c r="V322" s="39"/>
      <c r="W322" s="3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5" t="s">
        <v>21</v>
      </c>
      <c r="B323" s="35" t="s">
        <v>22</v>
      </c>
      <c r="C323" s="35" t="s">
        <v>23</v>
      </c>
      <c r="D323" s="35" t="s">
        <v>24</v>
      </c>
      <c r="E323" s="35" t="s">
        <v>32</v>
      </c>
      <c r="F323" s="35" t="s">
        <v>25</v>
      </c>
      <c r="G323" s="35" t="s">
        <v>25</v>
      </c>
      <c r="H323" s="35" t="s">
        <v>25</v>
      </c>
      <c r="I323" s="54">
        <v>44531</v>
      </c>
      <c r="J323" s="55">
        <f>EFEITO!$J$323*EFEITO!$Y$249</f>
        <v>0</v>
      </c>
      <c r="K323" s="55">
        <f ca="1">EFEITO!$L$323*EFEITO!$Z$320</f>
        <v>1160.4995616257384</v>
      </c>
      <c r="L323" s="55">
        <f>EFEITO!$N$323*EFEITO!$AA$320</f>
        <v>655.64803364757722</v>
      </c>
      <c r="M323" s="55">
        <f>$J$323-EFEITO!$K$323*EFEITO!$Y$323</f>
        <v>0</v>
      </c>
      <c r="N323" s="55">
        <f ca="1">$K$323-EFEITO!$M$323*EFEITO!$Z$323</f>
        <v>0</v>
      </c>
      <c r="O323" s="55">
        <f>$L$323-EFEITO!$O$323*EFEITO!$AA$323</f>
        <v>0</v>
      </c>
      <c r="P323" s="39"/>
      <c r="Q323" s="39"/>
      <c r="R323" s="39"/>
      <c r="S323" s="39"/>
      <c r="T323" s="39"/>
      <c r="U323" s="39"/>
      <c r="V323" s="39"/>
      <c r="W323" s="3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5" t="s">
        <v>21</v>
      </c>
      <c r="B324" s="35" t="s">
        <v>22</v>
      </c>
      <c r="C324" s="35" t="s">
        <v>23</v>
      </c>
      <c r="D324" s="35" t="s">
        <v>24</v>
      </c>
      <c r="E324" s="35" t="s">
        <v>32</v>
      </c>
      <c r="F324" s="35" t="s">
        <v>25</v>
      </c>
      <c r="G324" s="35" t="s">
        <v>25</v>
      </c>
      <c r="H324" s="35" t="s">
        <v>25</v>
      </c>
      <c r="I324" s="54">
        <v>44562</v>
      </c>
      <c r="J324" s="55">
        <f>EFEITO!$J$324*EFEITO!$Y$249</f>
        <v>0</v>
      </c>
      <c r="K324" s="55">
        <f ca="1">EFEITO!$L$324*EFEITO!$Z$320</f>
        <v>1114.55218079214</v>
      </c>
      <c r="L324" s="55">
        <f>EFEITO!$N$324*EFEITO!$AA$320</f>
        <v>629.68911828822752</v>
      </c>
      <c r="M324" s="55">
        <f>$J$324-EFEITO!$K$324*EFEITO!$Y$324</f>
        <v>0</v>
      </c>
      <c r="N324" s="55">
        <f ca="1">$K$324-EFEITO!$M$324*EFEITO!$Z$324</f>
        <v>0</v>
      </c>
      <c r="O324" s="55">
        <f>$L$324-EFEITO!$O$324*EFEITO!$AA$324</f>
        <v>0</v>
      </c>
      <c r="P324" s="39"/>
      <c r="Q324" s="39"/>
      <c r="R324" s="39"/>
      <c r="S324" s="39"/>
      <c r="T324" s="39"/>
      <c r="U324" s="39"/>
      <c r="V324" s="39"/>
      <c r="W324" s="3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5" t="s">
        <v>21</v>
      </c>
      <c r="B325" s="35" t="s">
        <v>22</v>
      </c>
      <c r="C325" s="35" t="s">
        <v>23</v>
      </c>
      <c r="D325" s="35" t="s">
        <v>24</v>
      </c>
      <c r="E325" s="35" t="s">
        <v>32</v>
      </c>
      <c r="F325" s="35" t="s">
        <v>25</v>
      </c>
      <c r="G325" s="35" t="s">
        <v>25</v>
      </c>
      <c r="H325" s="35" t="s">
        <v>25</v>
      </c>
      <c r="I325" s="54">
        <v>44593</v>
      </c>
      <c r="J325" s="55">
        <f>EFEITO!$J$325*EFEITO!$Y$249</f>
        <v>0</v>
      </c>
      <c r="K325" s="55">
        <f ca="1">EFEITO!$L$325*EFEITO!$Z$320</f>
        <v>1123.413461381477</v>
      </c>
      <c r="L325" s="55">
        <f>EFEITO!$N$325*EFEITO!$AA$320</f>
        <v>634.69548053610208</v>
      </c>
      <c r="M325" s="55">
        <f>$J$325-EFEITO!$K$325*EFEITO!$Y$325</f>
        <v>0</v>
      </c>
      <c r="N325" s="55">
        <f ca="1">$K$325-EFEITO!$M$325*EFEITO!$Z$325</f>
        <v>0</v>
      </c>
      <c r="O325" s="55">
        <f>$L$325-EFEITO!$O$325*EFEITO!$AA$325</f>
        <v>0</v>
      </c>
      <c r="P325" s="39"/>
      <c r="Q325" s="39"/>
      <c r="R325" s="39"/>
      <c r="S325" s="39"/>
      <c r="T325" s="39"/>
      <c r="U325" s="39"/>
      <c r="V325" s="39"/>
      <c r="W325" s="3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5" t="s">
        <v>21</v>
      </c>
      <c r="B326" s="35" t="s">
        <v>22</v>
      </c>
      <c r="C326" s="35" t="s">
        <v>23</v>
      </c>
      <c r="D326" s="35" t="s">
        <v>24</v>
      </c>
      <c r="E326" s="35" t="s">
        <v>32</v>
      </c>
      <c r="F326" s="35" t="s">
        <v>25</v>
      </c>
      <c r="G326" s="35" t="s">
        <v>25</v>
      </c>
      <c r="H326" s="35" t="s">
        <v>25</v>
      </c>
      <c r="I326" s="54">
        <v>44621</v>
      </c>
      <c r="J326" s="55">
        <f>EFEITO!$J$326*EFEITO!$Y$249</f>
        <v>0</v>
      </c>
      <c r="K326" s="55">
        <f ca="1">EFEITO!$L$326*EFEITO!$Z$320</f>
        <v>1587.8102033782018</v>
      </c>
      <c r="L326" s="55">
        <f>EFEITO!$N$326*EFEITO!$AA$320</f>
        <v>897.06594648953023</v>
      </c>
      <c r="M326" s="55">
        <f>$J$326-EFEITO!$K$326*EFEITO!$Y$326</f>
        <v>0</v>
      </c>
      <c r="N326" s="55">
        <f ca="1">$K$326-EFEITO!$M$326*EFEITO!$Z$326</f>
        <v>0</v>
      </c>
      <c r="O326" s="55">
        <f>$L$326-EFEITO!$O$326*EFEITO!$AA$326</f>
        <v>0</v>
      </c>
      <c r="P326" s="39"/>
      <c r="Q326" s="39"/>
      <c r="R326" s="39"/>
      <c r="S326" s="39"/>
      <c r="T326" s="39"/>
      <c r="U326" s="39"/>
      <c r="V326" s="39"/>
      <c r="W326" s="3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5" t="s">
        <v>21</v>
      </c>
      <c r="B327" s="35" t="s">
        <v>22</v>
      </c>
      <c r="C327" s="35" t="s">
        <v>23</v>
      </c>
      <c r="D327" s="35" t="s">
        <v>24</v>
      </c>
      <c r="E327" s="35" t="s">
        <v>32</v>
      </c>
      <c r="F327" s="35" t="s">
        <v>25</v>
      </c>
      <c r="G327" s="35" t="s">
        <v>25</v>
      </c>
      <c r="H327" s="35" t="s">
        <v>25</v>
      </c>
      <c r="I327" s="54">
        <v>44652</v>
      </c>
      <c r="J327" s="55">
        <f>EFEITO!$J$327*EFEITO!$Y$249</f>
        <v>0</v>
      </c>
      <c r="K327" s="55">
        <f ca="1">EFEITO!$L$327*EFEITO!$Z$320</f>
        <v>1438.1530200916247</v>
      </c>
      <c r="L327" s="55">
        <f>EFEITO!$N$327*EFEITO!$AA$320</f>
        <v>812.51405074764796</v>
      </c>
      <c r="M327" s="55">
        <f>$J$327-EFEITO!$K$327*EFEITO!$Y$327</f>
        <v>0</v>
      </c>
      <c r="N327" s="55">
        <f ca="1">$K$327-EFEITO!$M$327*EFEITO!$Z$327</f>
        <v>0</v>
      </c>
      <c r="O327" s="55">
        <f>$L$327-EFEITO!$O$327*EFEITO!$AA$327</f>
        <v>0</v>
      </c>
      <c r="P327" s="39"/>
      <c r="Q327" s="39"/>
      <c r="R327" s="39"/>
      <c r="S327" s="39"/>
      <c r="T327" s="39"/>
      <c r="U327" s="39"/>
      <c r="V327" s="39"/>
      <c r="W327" s="3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5" t="s">
        <v>21</v>
      </c>
      <c r="B328" s="35" t="s">
        <v>22</v>
      </c>
      <c r="C328" s="35" t="s">
        <v>23</v>
      </c>
      <c r="D328" s="35" t="s">
        <v>24</v>
      </c>
      <c r="E328" s="35" t="s">
        <v>32</v>
      </c>
      <c r="F328" s="35" t="s">
        <v>25</v>
      </c>
      <c r="G328" s="35" t="s">
        <v>25</v>
      </c>
      <c r="H328" s="35" t="s">
        <v>25</v>
      </c>
      <c r="I328" s="54">
        <v>44682</v>
      </c>
      <c r="J328" s="55">
        <f>EFEITO!$J$328*EFEITO!$Y$249</f>
        <v>0</v>
      </c>
      <c r="K328" s="55">
        <f ca="1">EFEITO!$L$328*EFEITO!$Z$320</f>
        <v>881.20512527293761</v>
      </c>
      <c r="L328" s="55">
        <f>EFEITO!$N$328*EFEITO!$AA$320</f>
        <v>497.85491242752971</v>
      </c>
      <c r="M328" s="55">
        <f>$J$328-EFEITO!$K$328*EFEITO!$Y$328</f>
        <v>0</v>
      </c>
      <c r="N328" s="55">
        <f ca="1">$K$328-EFEITO!$M$328*EFEITO!$Z$328</f>
        <v>0</v>
      </c>
      <c r="O328" s="55">
        <f>$L$328-EFEITO!$O$328*EFEITO!$AA$328</f>
        <v>0</v>
      </c>
      <c r="P328" s="39"/>
      <c r="Q328" s="39"/>
      <c r="R328" s="39"/>
      <c r="S328" s="39"/>
      <c r="T328" s="39"/>
      <c r="U328" s="39"/>
      <c r="V328" s="39"/>
      <c r="W328" s="3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5" t="s">
        <v>21</v>
      </c>
      <c r="B329" s="35" t="s">
        <v>22</v>
      </c>
      <c r="C329" s="35" t="s">
        <v>23</v>
      </c>
      <c r="D329" s="35" t="s">
        <v>24</v>
      </c>
      <c r="E329" s="35" t="s">
        <v>32</v>
      </c>
      <c r="F329" s="35" t="s">
        <v>25</v>
      </c>
      <c r="G329" s="35" t="s">
        <v>25</v>
      </c>
      <c r="H329" s="35" t="s">
        <v>25</v>
      </c>
      <c r="I329" s="54">
        <v>44713</v>
      </c>
      <c r="J329" s="55">
        <f>EFEITO!$J$329*EFEITO!$Y$249</f>
        <v>0</v>
      </c>
      <c r="K329" s="55">
        <f ca="1">EFEITO!$L$329*EFEITO!$Z$320</f>
        <v>655.07837245615769</v>
      </c>
      <c r="L329" s="55">
        <f>EFEITO!$N$329*EFEITO!$AA$320</f>
        <v>370.09996469472969</v>
      </c>
      <c r="M329" s="55">
        <f>$J$329-EFEITO!$K$329*EFEITO!$Y$329</f>
        <v>0</v>
      </c>
      <c r="N329" s="55">
        <f ca="1">$K$329-EFEITO!$M$329*EFEITO!$Z$329</f>
        <v>0</v>
      </c>
      <c r="O329" s="55">
        <f>$L$329-EFEITO!$O$329*EFEITO!$AA$329</f>
        <v>0</v>
      </c>
      <c r="P329" s="39"/>
      <c r="Q329" s="39"/>
      <c r="R329" s="39"/>
      <c r="S329" s="39"/>
      <c r="T329" s="39"/>
      <c r="U329" s="39"/>
      <c r="V329" s="39"/>
      <c r="W329" s="3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5" t="s">
        <v>21</v>
      </c>
      <c r="B330" s="35" t="s">
        <v>22</v>
      </c>
      <c r="C330" s="35" t="s">
        <v>23</v>
      </c>
      <c r="D330" s="35" t="s">
        <v>24</v>
      </c>
      <c r="E330" s="35" t="s">
        <v>32</v>
      </c>
      <c r="F330" s="35" t="s">
        <v>25</v>
      </c>
      <c r="G330" s="35" t="s">
        <v>25</v>
      </c>
      <c r="H330" s="35" t="s">
        <v>25</v>
      </c>
      <c r="I330" s="54">
        <v>44743</v>
      </c>
      <c r="J330" s="55">
        <f>EFEITO!$J$330*EFEITO!$Y$249</f>
        <v>0</v>
      </c>
      <c r="K330" s="55">
        <f ca="1">EFEITO!$L$330*EFEITO!$Z$320</f>
        <v>677.39567171819112</v>
      </c>
      <c r="L330" s="55">
        <f>EFEITO!$N$330*EFEITO!$AA$320</f>
        <v>382.70858072641391</v>
      </c>
      <c r="M330" s="55">
        <f>$J$330-EFEITO!$K$330*EFEITO!$Y$330</f>
        <v>0</v>
      </c>
      <c r="N330" s="55">
        <f ca="1">$K$330-EFEITO!$M$330*EFEITO!$Z$330</f>
        <v>0</v>
      </c>
      <c r="O330" s="55">
        <f>$L$330-EFEITO!$O$330*EFEITO!$AA$330</f>
        <v>0</v>
      </c>
      <c r="P330" s="39"/>
      <c r="Q330" s="39"/>
      <c r="R330" s="39"/>
      <c r="S330" s="39"/>
      <c r="T330" s="39"/>
      <c r="U330" s="39"/>
      <c r="V330" s="39"/>
      <c r="W330" s="3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5" t="s">
        <v>21</v>
      </c>
      <c r="B331" s="35" t="s">
        <v>22</v>
      </c>
      <c r="C331" s="35" t="s">
        <v>23</v>
      </c>
      <c r="D331" s="35" t="s">
        <v>24</v>
      </c>
      <c r="E331" s="35" t="s">
        <v>32</v>
      </c>
      <c r="F331" s="35" t="s">
        <v>25</v>
      </c>
      <c r="G331" s="35" t="s">
        <v>25</v>
      </c>
      <c r="H331" s="35" t="s">
        <v>25</v>
      </c>
      <c r="I331" s="54">
        <v>44774</v>
      </c>
      <c r="J331" s="55">
        <f>EFEITO!$J$331*EFEITO!$Y$249</f>
        <v>0</v>
      </c>
      <c r="K331" s="55">
        <f ca="1">EFEITO!$L$331*EFEITO!$Z$320</f>
        <v>843.46263387391036</v>
      </c>
      <c r="L331" s="55">
        <f>EFEITO!$N$331*EFEITO!$AA$320</f>
        <v>476.53151766806377</v>
      </c>
      <c r="M331" s="55">
        <f>$J$331-EFEITO!$K$331*EFEITO!$Y$331</f>
        <v>0</v>
      </c>
      <c r="N331" s="55">
        <f ca="1">$K$331-EFEITO!$M$331*EFEITO!$Z$331</f>
        <v>0</v>
      </c>
      <c r="O331" s="55">
        <f>$L$331-EFEITO!$O$331*EFEITO!$AA$331</f>
        <v>0</v>
      </c>
      <c r="P331" s="39"/>
      <c r="Q331" s="39"/>
      <c r="R331" s="39"/>
      <c r="S331" s="39"/>
      <c r="T331" s="39"/>
      <c r="U331" s="39"/>
      <c r="V331" s="39"/>
      <c r="W331" s="3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5" t="s">
        <v>21</v>
      </c>
      <c r="B332" s="35" t="s">
        <v>40</v>
      </c>
      <c r="C332" s="35" t="s">
        <v>23</v>
      </c>
      <c r="D332" s="35" t="s">
        <v>41</v>
      </c>
      <c r="E332" s="35" t="s">
        <v>50</v>
      </c>
      <c r="F332" s="35" t="s">
        <v>51</v>
      </c>
      <c r="G332" s="35" t="s">
        <v>25</v>
      </c>
      <c r="H332" s="35" t="s">
        <v>25</v>
      </c>
      <c r="I332" s="54">
        <v>44440</v>
      </c>
      <c r="J332" s="55">
        <f>EFEITO!$J$332*EFEITO!$Y$249</f>
        <v>0</v>
      </c>
      <c r="K332" s="55">
        <f ca="1">EFEITO!$L$332*EFEITO!$Z$249</f>
        <v>50110.769808402649</v>
      </c>
      <c r="L332" s="55">
        <f>EFEITO!$N$332*EFEITO!$AA$249</f>
        <v>21232.909397356158</v>
      </c>
      <c r="M332" s="55">
        <f>$J$332-EFEITO!$K$332*EFEITO!$Y$332</f>
        <v>0</v>
      </c>
      <c r="N332" s="55">
        <f ca="1">$K$332-EFEITO!$M$332*EFEITO!$Z$332</f>
        <v>3006.6461885041645</v>
      </c>
      <c r="O332" s="55">
        <f>$L$332-EFEITO!$O$332*EFEITO!$AA$332</f>
        <v>1273.9745638413697</v>
      </c>
      <c r="P332" s="39"/>
      <c r="Q332" s="39"/>
      <c r="R332" s="39"/>
      <c r="S332" s="39"/>
      <c r="T332" s="39"/>
      <c r="U332" s="39"/>
      <c r="V332" s="39"/>
      <c r="W332" s="3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5" t="s">
        <v>21</v>
      </c>
      <c r="B333" s="35" t="s">
        <v>40</v>
      </c>
      <c r="C333" s="35" t="s">
        <v>23</v>
      </c>
      <c r="D333" s="35" t="s">
        <v>41</v>
      </c>
      <c r="E333" s="35" t="s">
        <v>50</v>
      </c>
      <c r="F333" s="35" t="s">
        <v>51</v>
      </c>
      <c r="G333" s="35" t="s">
        <v>25</v>
      </c>
      <c r="H333" s="35" t="s">
        <v>25</v>
      </c>
      <c r="I333" s="54">
        <v>44470</v>
      </c>
      <c r="J333" s="55">
        <f>EFEITO!$J$333*EFEITO!$Y$249</f>
        <v>0</v>
      </c>
      <c r="K333" s="55">
        <f ca="1">EFEITO!$L$333*EFEITO!$Z$249</f>
        <v>63774.916686174169</v>
      </c>
      <c r="L333" s="55">
        <f>EFEITO!$N$333*EFEITO!$AA$249</f>
        <v>27022.674626611133</v>
      </c>
      <c r="M333" s="55">
        <f>$J$333-EFEITO!$K$333*EFEITO!$Y$333</f>
        <v>0</v>
      </c>
      <c r="N333" s="55">
        <f ca="1">$K$333-EFEITO!$M$333*EFEITO!$Z$333</f>
        <v>3826.4950011704568</v>
      </c>
      <c r="O333" s="55">
        <f>$L$333-EFEITO!$O$333*EFEITO!$AA$333</f>
        <v>1621.3604775966669</v>
      </c>
      <c r="P333" s="39"/>
      <c r="Q333" s="39"/>
      <c r="R333" s="39"/>
      <c r="S333" s="39"/>
      <c r="T333" s="39"/>
      <c r="U333" s="39"/>
      <c r="V333" s="39"/>
      <c r="W333" s="3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5" t="s">
        <v>21</v>
      </c>
      <c r="B334" s="35" t="s">
        <v>40</v>
      </c>
      <c r="C334" s="35" t="s">
        <v>23</v>
      </c>
      <c r="D334" s="35" t="s">
        <v>41</v>
      </c>
      <c r="E334" s="35" t="s">
        <v>50</v>
      </c>
      <c r="F334" s="35" t="s">
        <v>51</v>
      </c>
      <c r="G334" s="35" t="s">
        <v>25</v>
      </c>
      <c r="H334" s="35" t="s">
        <v>25</v>
      </c>
      <c r="I334" s="54">
        <v>44501</v>
      </c>
      <c r="J334" s="55">
        <f>EFEITO!$J$334*EFEITO!$Y$249</f>
        <v>0</v>
      </c>
      <c r="K334" s="55">
        <f ca="1">EFEITO!$L$334*EFEITO!$Z$249</f>
        <v>15871.852914548381</v>
      </c>
      <c r="L334" s="55">
        <f>EFEITO!$N$334*EFEITO!$AA$249</f>
        <v>6725.2132863115467</v>
      </c>
      <c r="M334" s="55">
        <f>$J$334-EFEITO!$K$334*EFEITO!$Y$334</f>
        <v>0</v>
      </c>
      <c r="N334" s="55">
        <f ca="1">$K$334-EFEITO!$M$334*EFEITO!$Z$334</f>
        <v>952.3111748729043</v>
      </c>
      <c r="O334" s="55">
        <f>$L$334-EFEITO!$O$334*EFEITO!$AA$334</f>
        <v>403.51279717869238</v>
      </c>
      <c r="P334" s="39"/>
      <c r="Q334" s="39"/>
      <c r="R334" s="39"/>
      <c r="S334" s="39"/>
      <c r="T334" s="39"/>
      <c r="U334" s="39"/>
      <c r="V334" s="39"/>
      <c r="W334" s="3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5" t="s">
        <v>21</v>
      </c>
      <c r="B335" s="35" t="s">
        <v>40</v>
      </c>
      <c r="C335" s="35" t="s">
        <v>23</v>
      </c>
      <c r="D335" s="35" t="s">
        <v>41</v>
      </c>
      <c r="E335" s="35" t="s">
        <v>50</v>
      </c>
      <c r="F335" s="35" t="s">
        <v>51</v>
      </c>
      <c r="G335" s="35" t="s">
        <v>25</v>
      </c>
      <c r="H335" s="35" t="s">
        <v>25</v>
      </c>
      <c r="I335" s="54">
        <v>44531</v>
      </c>
      <c r="J335" s="55">
        <f>EFEITO!$J$335*EFEITO!$Y$249</f>
        <v>0</v>
      </c>
      <c r="K335" s="55">
        <f ca="1">EFEITO!$L$335*EFEITO!$Z$249</f>
        <v>12815.197480081315</v>
      </c>
      <c r="L335" s="55">
        <f>EFEITO!$N$335*EFEITO!$AA$249</f>
        <v>5430.0488307039877</v>
      </c>
      <c r="M335" s="55">
        <f>$J$335-EFEITO!$K$335*EFEITO!$Y$335</f>
        <v>0</v>
      </c>
      <c r="N335" s="55">
        <f ca="1">$K$335-EFEITO!$M$335*EFEITO!$Z$335</f>
        <v>768.91184880488072</v>
      </c>
      <c r="O335" s="55">
        <f>$L$335-EFEITO!$O$335*EFEITO!$AA$335</f>
        <v>325.80292984223888</v>
      </c>
      <c r="P335" s="39"/>
      <c r="Q335" s="39"/>
      <c r="R335" s="39"/>
      <c r="S335" s="39"/>
      <c r="T335" s="39"/>
      <c r="U335" s="39"/>
      <c r="V335" s="39"/>
      <c r="W335" s="3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5" t="s">
        <v>21</v>
      </c>
      <c r="B336" s="35" t="s">
        <v>40</v>
      </c>
      <c r="C336" s="35" t="s">
        <v>23</v>
      </c>
      <c r="D336" s="35" t="s">
        <v>41</v>
      </c>
      <c r="E336" s="35" t="s">
        <v>50</v>
      </c>
      <c r="F336" s="35" t="s">
        <v>51</v>
      </c>
      <c r="G336" s="35" t="s">
        <v>25</v>
      </c>
      <c r="H336" s="35" t="s">
        <v>25</v>
      </c>
      <c r="I336" s="54">
        <v>44562</v>
      </c>
      <c r="J336" s="55">
        <f>EFEITO!$J$336*EFEITO!$Y$249</f>
        <v>0</v>
      </c>
      <c r="K336" s="55">
        <f ca="1">EFEITO!$L$336*EFEITO!$Z$249</f>
        <v>5597.8147913676003</v>
      </c>
      <c r="L336" s="55">
        <f>EFEITO!$N$336*EFEITO!$AA$249</f>
        <v>2371.9031805485884</v>
      </c>
      <c r="M336" s="55">
        <f>$J$336-EFEITO!$K$336*EFEITO!$Y$336</f>
        <v>0</v>
      </c>
      <c r="N336" s="55">
        <f ca="1">$K$336-EFEITO!$M$336*EFEITO!$Z$336</f>
        <v>335.86888748205638</v>
      </c>
      <c r="O336" s="55">
        <f>$L$336-EFEITO!$O$336*EFEITO!$AA$336</f>
        <v>142.3141908329153</v>
      </c>
      <c r="P336" s="39"/>
      <c r="Q336" s="39"/>
      <c r="R336" s="39"/>
      <c r="S336" s="39"/>
      <c r="T336" s="39"/>
      <c r="U336" s="39"/>
      <c r="V336" s="39"/>
      <c r="W336" s="3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5" t="s">
        <v>21</v>
      </c>
      <c r="B337" s="35" t="s">
        <v>40</v>
      </c>
      <c r="C337" s="35" t="s">
        <v>23</v>
      </c>
      <c r="D337" s="35" t="s">
        <v>41</v>
      </c>
      <c r="E337" s="35" t="s">
        <v>50</v>
      </c>
      <c r="F337" s="35" t="s">
        <v>51</v>
      </c>
      <c r="G337" s="35" t="s">
        <v>25</v>
      </c>
      <c r="H337" s="35" t="s">
        <v>25</v>
      </c>
      <c r="I337" s="54">
        <v>44593</v>
      </c>
      <c r="J337" s="55">
        <f>EFEITO!$J$337*EFEITO!$Y$249</f>
        <v>0</v>
      </c>
      <c r="K337" s="55">
        <f ca="1">EFEITO!$L$337*EFEITO!$Z$249</f>
        <v>3144.1759909299726</v>
      </c>
      <c r="L337" s="55">
        <f>EFEITO!$N$337*EFEITO!$AA$249</f>
        <v>1332.2486204066297</v>
      </c>
      <c r="M337" s="55">
        <f>$J$337-EFEITO!$K$337*EFEITO!$Y$337</f>
        <v>0</v>
      </c>
      <c r="N337" s="55">
        <f ca="1">$K$337-EFEITO!$M$337*EFEITO!$Z$337</f>
        <v>188.65055945579888</v>
      </c>
      <c r="O337" s="55">
        <f>$L$337-EFEITO!$O$337*EFEITO!$AA$337</f>
        <v>79.93491722439785</v>
      </c>
      <c r="P337" s="39"/>
      <c r="Q337" s="39"/>
      <c r="R337" s="39"/>
      <c r="S337" s="39"/>
      <c r="T337" s="39"/>
      <c r="U337" s="39"/>
      <c r="V337" s="39"/>
      <c r="W337" s="3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5" t="s">
        <v>21</v>
      </c>
      <c r="B338" s="35" t="s">
        <v>40</v>
      </c>
      <c r="C338" s="35" t="s">
        <v>23</v>
      </c>
      <c r="D338" s="35" t="s">
        <v>41</v>
      </c>
      <c r="E338" s="35" t="s">
        <v>50</v>
      </c>
      <c r="F338" s="35" t="s">
        <v>51</v>
      </c>
      <c r="G338" s="35" t="s">
        <v>25</v>
      </c>
      <c r="H338" s="35" t="s">
        <v>25</v>
      </c>
      <c r="I338" s="54">
        <v>44621</v>
      </c>
      <c r="J338" s="55">
        <f>EFEITO!$J$338*EFEITO!$Y$249</f>
        <v>0</v>
      </c>
      <c r="K338" s="55">
        <f ca="1">EFEITO!$L$338*EFEITO!$Z$249</f>
        <v>9693.7768338316982</v>
      </c>
      <c r="L338" s="55">
        <f>EFEITO!$N$338*EFEITO!$AA$249</f>
        <v>4107.4420931451168</v>
      </c>
      <c r="M338" s="55">
        <f>$J$338-EFEITO!$K$338*EFEITO!$Y$338</f>
        <v>0</v>
      </c>
      <c r="N338" s="55">
        <f ca="1">$K$338-EFEITO!$M$338*EFEITO!$Z$338</f>
        <v>581.62661002990171</v>
      </c>
      <c r="O338" s="55">
        <f>$L$338-EFEITO!$O$338*EFEITO!$AA$338</f>
        <v>246.44652558870712</v>
      </c>
      <c r="P338" s="39"/>
      <c r="Q338" s="39"/>
      <c r="R338" s="39"/>
      <c r="S338" s="39"/>
      <c r="T338" s="39"/>
      <c r="U338" s="39"/>
      <c r="V338" s="39"/>
      <c r="W338" s="3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5" t="s">
        <v>21</v>
      </c>
      <c r="B339" s="35" t="s">
        <v>40</v>
      </c>
      <c r="C339" s="35" t="s">
        <v>23</v>
      </c>
      <c r="D339" s="35" t="s">
        <v>41</v>
      </c>
      <c r="E339" s="35" t="s">
        <v>50</v>
      </c>
      <c r="F339" s="35" t="s">
        <v>51</v>
      </c>
      <c r="G339" s="35" t="s">
        <v>25</v>
      </c>
      <c r="H339" s="35" t="s">
        <v>25</v>
      </c>
      <c r="I339" s="54">
        <v>44652</v>
      </c>
      <c r="J339" s="55">
        <f>EFEITO!$J$339*EFEITO!$Y$249</f>
        <v>0</v>
      </c>
      <c r="K339" s="55">
        <f ca="1">EFEITO!$L$339*EFEITO!$Z$249</f>
        <v>13871.132993806301</v>
      </c>
      <c r="L339" s="55">
        <f>EFEITO!$N$339*EFEITO!$AA$249</f>
        <v>5877.4692790047811</v>
      </c>
      <c r="M339" s="55">
        <f>$J$339-EFEITO!$K$339*EFEITO!$Y$339</f>
        <v>0</v>
      </c>
      <c r="N339" s="55">
        <f ca="1">$K$339-EFEITO!$M$339*EFEITO!$Z$339</f>
        <v>832.26797962837918</v>
      </c>
      <c r="O339" s="55">
        <f>$L$339-EFEITO!$O$339*EFEITO!$AA$339</f>
        <v>352.64815674028705</v>
      </c>
      <c r="P339" s="39"/>
      <c r="Q339" s="39"/>
      <c r="R339" s="39"/>
      <c r="S339" s="39"/>
      <c r="T339" s="39"/>
      <c r="U339" s="39"/>
      <c r="V339" s="39"/>
      <c r="W339" s="3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5" t="s">
        <v>21</v>
      </c>
      <c r="B340" s="35" t="s">
        <v>40</v>
      </c>
      <c r="C340" s="35" t="s">
        <v>23</v>
      </c>
      <c r="D340" s="35" t="s">
        <v>41</v>
      </c>
      <c r="E340" s="35" t="s">
        <v>50</v>
      </c>
      <c r="F340" s="35" t="s">
        <v>51</v>
      </c>
      <c r="G340" s="35" t="s">
        <v>25</v>
      </c>
      <c r="H340" s="35" t="s">
        <v>25</v>
      </c>
      <c r="I340" s="54">
        <v>44682</v>
      </c>
      <c r="J340" s="55">
        <f>EFEITO!$J$340*EFEITO!$Y$249</f>
        <v>0</v>
      </c>
      <c r="K340" s="55">
        <f ca="1">EFEITO!$L$340*EFEITO!$Z$249</f>
        <v>42207.225957019728</v>
      </c>
      <c r="L340" s="55">
        <f>EFEITO!$N$340*EFEITO!$AA$249</f>
        <v>17884.023895176037</v>
      </c>
      <c r="M340" s="55">
        <f>$J$340-EFEITO!$K$340*EFEITO!$Y$340</f>
        <v>0</v>
      </c>
      <c r="N340" s="55">
        <f ca="1">$K$340-EFEITO!$M$340*EFEITO!$Z$340</f>
        <v>2532.4335574211873</v>
      </c>
      <c r="O340" s="55">
        <f>$L$340-EFEITO!$O$340*EFEITO!$AA$340</f>
        <v>1073.0414337105613</v>
      </c>
      <c r="P340" s="39"/>
      <c r="Q340" s="39"/>
      <c r="R340" s="39"/>
      <c r="S340" s="39"/>
      <c r="T340" s="39"/>
      <c r="U340" s="39"/>
      <c r="V340" s="39"/>
      <c r="W340" s="3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5" t="s">
        <v>21</v>
      </c>
      <c r="B341" s="35" t="s">
        <v>40</v>
      </c>
      <c r="C341" s="35" t="s">
        <v>23</v>
      </c>
      <c r="D341" s="35" t="s">
        <v>41</v>
      </c>
      <c r="E341" s="35" t="s">
        <v>50</v>
      </c>
      <c r="F341" s="35" t="s">
        <v>51</v>
      </c>
      <c r="G341" s="35" t="s">
        <v>25</v>
      </c>
      <c r="H341" s="35" t="s">
        <v>25</v>
      </c>
      <c r="I341" s="54">
        <v>44713</v>
      </c>
      <c r="J341" s="55">
        <f>EFEITO!$J$341*EFEITO!$Y$249</f>
        <v>0</v>
      </c>
      <c r="K341" s="55">
        <f ca="1">EFEITO!$L$341*EFEITO!$Z$249</f>
        <v>47005.102862316358</v>
      </c>
      <c r="L341" s="55">
        <f>EFEITO!$N$341*EFEITO!$AA$249</f>
        <v>19916.977809461117</v>
      </c>
      <c r="M341" s="55">
        <f>$J$341-EFEITO!$K$341*EFEITO!$Y$341</f>
        <v>0</v>
      </c>
      <c r="N341" s="55">
        <f ca="1">$K$341-EFEITO!$M$341*EFEITO!$Z$341</f>
        <v>2820.3061717389864</v>
      </c>
      <c r="O341" s="55">
        <f>$L$341-EFEITO!$O$341*EFEITO!$AA$341</f>
        <v>1195.0186685676636</v>
      </c>
      <c r="P341" s="39"/>
      <c r="Q341" s="39"/>
      <c r="R341" s="39"/>
      <c r="S341" s="39"/>
      <c r="T341" s="39"/>
      <c r="U341" s="39"/>
      <c r="V341" s="39"/>
      <c r="W341" s="3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5" t="s">
        <v>21</v>
      </c>
      <c r="B342" s="35" t="s">
        <v>40</v>
      </c>
      <c r="C342" s="35" t="s">
        <v>23</v>
      </c>
      <c r="D342" s="35" t="s">
        <v>41</v>
      </c>
      <c r="E342" s="35" t="s">
        <v>50</v>
      </c>
      <c r="F342" s="35" t="s">
        <v>51</v>
      </c>
      <c r="G342" s="35" t="s">
        <v>25</v>
      </c>
      <c r="H342" s="35" t="s">
        <v>25</v>
      </c>
      <c r="I342" s="54">
        <v>44743</v>
      </c>
      <c r="J342" s="55">
        <f>EFEITO!$J$342*EFEITO!$Y$249</f>
        <v>0</v>
      </c>
      <c r="K342" s="55">
        <f ca="1">EFEITO!$L$342*EFEITO!$Z$249</f>
        <v>45886.590150720389</v>
      </c>
      <c r="L342" s="55">
        <f>EFEITO!$N$342*EFEITO!$AA$249</f>
        <v>19443.042183328987</v>
      </c>
      <c r="M342" s="55">
        <f>$J$342-EFEITO!$K$342*EFEITO!$Y$342</f>
        <v>0</v>
      </c>
      <c r="N342" s="55">
        <f ca="1">$K$342-EFEITO!$M$342*EFEITO!$Z$342</f>
        <v>2753.1954090432264</v>
      </c>
      <c r="O342" s="55">
        <f>$L$342-EFEITO!$O$342*EFEITO!$AA$342</f>
        <v>1166.5825309997381</v>
      </c>
      <c r="P342" s="39"/>
      <c r="Q342" s="39"/>
      <c r="R342" s="39"/>
      <c r="S342" s="39"/>
      <c r="T342" s="39"/>
      <c r="U342" s="39"/>
      <c r="V342" s="39"/>
      <c r="W342" s="3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5" t="s">
        <v>21</v>
      </c>
      <c r="B343" s="35" t="s">
        <v>40</v>
      </c>
      <c r="C343" s="35" t="s">
        <v>23</v>
      </c>
      <c r="D343" s="35" t="s">
        <v>41</v>
      </c>
      <c r="E343" s="35" t="s">
        <v>50</v>
      </c>
      <c r="F343" s="35" t="s">
        <v>51</v>
      </c>
      <c r="G343" s="35" t="s">
        <v>25</v>
      </c>
      <c r="H343" s="35" t="s">
        <v>25</v>
      </c>
      <c r="I343" s="54">
        <v>44774</v>
      </c>
      <c r="J343" s="55">
        <f>EFEITO!$J$343*EFEITO!$Y$249</f>
        <v>0</v>
      </c>
      <c r="K343" s="55">
        <f ca="1">EFEITO!$L$343*EFEITO!$Z$249</f>
        <v>68414.381384272929</v>
      </c>
      <c r="L343" s="55">
        <f>EFEITO!$N$343*EFEITO!$AA$249</f>
        <v>28988.506202609893</v>
      </c>
      <c r="M343" s="55">
        <f>$J$343-EFEITO!$K$343*EFEITO!$Y$343</f>
        <v>0</v>
      </c>
      <c r="N343" s="55">
        <f ca="1">$K$343-EFEITO!$M$343*EFEITO!$Z$343</f>
        <v>4104.862883056383</v>
      </c>
      <c r="O343" s="55">
        <f>$L$343-EFEITO!$O$343*EFEITO!$AA$343</f>
        <v>1739.3103721565931</v>
      </c>
      <c r="P343" s="39"/>
      <c r="Q343" s="39"/>
      <c r="R343" s="39"/>
      <c r="S343" s="39"/>
      <c r="T343" s="39"/>
      <c r="U343" s="39"/>
      <c r="V343" s="39"/>
      <c r="W343" s="3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5" t="s">
        <v>21</v>
      </c>
      <c r="B344" s="35" t="s">
        <v>40</v>
      </c>
      <c r="C344" s="35" t="s">
        <v>23</v>
      </c>
      <c r="D344" s="35" t="s">
        <v>41</v>
      </c>
      <c r="E344" s="35" t="s">
        <v>50</v>
      </c>
      <c r="F344" s="35" t="s">
        <v>52</v>
      </c>
      <c r="G344" s="35" t="s">
        <v>25</v>
      </c>
      <c r="H344" s="35" t="s">
        <v>25</v>
      </c>
      <c r="I344" s="54">
        <v>44440</v>
      </c>
      <c r="J344" s="55">
        <f>EFEITO!$J$344*EFEITO!$Y$249</f>
        <v>0</v>
      </c>
      <c r="K344" s="55">
        <f ca="1">EFEITO!$L$344*EFEITO!$Z$249</f>
        <v>38396.1433258424</v>
      </c>
      <c r="L344" s="55">
        <f>EFEITO!$N$344*EFEITO!$AA$249</f>
        <v>16269.193939000488</v>
      </c>
      <c r="M344" s="55">
        <f>$J$344-EFEITO!$K$344*EFEITO!$Y$344</f>
        <v>0</v>
      </c>
      <c r="N344" s="55">
        <f ca="1">$K$344-EFEITO!$M$344*EFEITO!$Z$344</f>
        <v>23959.193435325658</v>
      </c>
      <c r="O344" s="55">
        <f>$L$344-EFEITO!$O$344*EFEITO!$AA$344</f>
        <v>10151.977017936304</v>
      </c>
      <c r="P344" s="39"/>
      <c r="Q344" s="39"/>
      <c r="R344" s="39"/>
      <c r="S344" s="39"/>
      <c r="T344" s="39"/>
      <c r="U344" s="39"/>
      <c r="V344" s="39"/>
      <c r="W344" s="3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5" t="s">
        <v>21</v>
      </c>
      <c r="B345" s="35" t="s">
        <v>40</v>
      </c>
      <c r="C345" s="35" t="s">
        <v>23</v>
      </c>
      <c r="D345" s="35" t="s">
        <v>41</v>
      </c>
      <c r="E345" s="35" t="s">
        <v>50</v>
      </c>
      <c r="F345" s="35" t="s">
        <v>52</v>
      </c>
      <c r="G345" s="35" t="s">
        <v>25</v>
      </c>
      <c r="H345" s="35" t="s">
        <v>25</v>
      </c>
      <c r="I345" s="54">
        <v>44470</v>
      </c>
      <c r="J345" s="55">
        <f>EFEITO!$J$345*EFEITO!$Y$249</f>
        <v>0</v>
      </c>
      <c r="K345" s="55">
        <f ca="1">EFEITO!$L$345*EFEITO!$Z$249</f>
        <v>49012.824427575462</v>
      </c>
      <c r="L345" s="55">
        <f>EFEITO!$N$345*EFEITO!$AA$249</f>
        <v>20767.68854995181</v>
      </c>
      <c r="M345" s="55">
        <f>$J$345-EFEITO!$K$345*EFEITO!$Y$345</f>
        <v>0</v>
      </c>
      <c r="N345" s="55">
        <f ca="1">$K$345-EFEITO!$M$345*EFEITO!$Z$345</f>
        <v>30584.00244280709</v>
      </c>
      <c r="O345" s="55">
        <f>$L$345-EFEITO!$O$345*EFEITO!$AA$345</f>
        <v>12959.03765516993</v>
      </c>
      <c r="P345" s="39"/>
      <c r="Q345" s="39"/>
      <c r="R345" s="39"/>
      <c r="S345" s="39"/>
      <c r="T345" s="39"/>
      <c r="U345" s="39"/>
      <c r="V345" s="39"/>
      <c r="W345" s="3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35" t="s">
        <v>21</v>
      </c>
      <c r="B346" s="35" t="s">
        <v>40</v>
      </c>
      <c r="C346" s="35" t="s">
        <v>23</v>
      </c>
      <c r="D346" s="35" t="s">
        <v>41</v>
      </c>
      <c r="E346" s="35" t="s">
        <v>50</v>
      </c>
      <c r="F346" s="35" t="s">
        <v>52</v>
      </c>
      <c r="G346" s="35" t="s">
        <v>25</v>
      </c>
      <c r="H346" s="35" t="s">
        <v>25</v>
      </c>
      <c r="I346" s="54">
        <v>44501</v>
      </c>
      <c r="J346" s="55">
        <f>EFEITO!$J$346*EFEITO!$Y$249</f>
        <v>0</v>
      </c>
      <c r="K346" s="55">
        <f ca="1">EFEITO!$L$346*EFEITO!$Z$249</f>
        <v>9898.5749359549045</v>
      </c>
      <c r="L346" s="55">
        <f>EFEITO!$N$346*EFEITO!$AA$249</f>
        <v>4194.2190387749433</v>
      </c>
      <c r="M346" s="55">
        <f>$J$346-EFEITO!$K$346*EFEITO!$Y$346</f>
        <v>0</v>
      </c>
      <c r="N346" s="55">
        <f ca="1">$K$346-EFEITO!$M$346*EFEITO!$Z$346</f>
        <v>6176.7107600358613</v>
      </c>
      <c r="O346" s="55">
        <f>$L$346-EFEITO!$O$346*EFEITO!$AA$346</f>
        <v>2617.1926801955651</v>
      </c>
      <c r="P346" s="39"/>
      <c r="Q346" s="39"/>
      <c r="R346" s="39"/>
      <c r="S346" s="39"/>
      <c r="T346" s="39"/>
      <c r="U346" s="39"/>
      <c r="V346" s="39"/>
      <c r="W346" s="3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35" t="s">
        <v>21</v>
      </c>
      <c r="B347" s="35" t="s">
        <v>40</v>
      </c>
      <c r="C347" s="35" t="s">
        <v>23</v>
      </c>
      <c r="D347" s="35" t="s">
        <v>41</v>
      </c>
      <c r="E347" s="35" t="s">
        <v>50</v>
      </c>
      <c r="F347" s="35" t="s">
        <v>52</v>
      </c>
      <c r="G347" s="35" t="s">
        <v>25</v>
      </c>
      <c r="H347" s="35" t="s">
        <v>25</v>
      </c>
      <c r="I347" s="54">
        <v>44531</v>
      </c>
      <c r="J347" s="55">
        <f>EFEITO!$J$347*EFEITO!$Y$249</f>
        <v>0</v>
      </c>
      <c r="K347" s="55">
        <f ca="1">EFEITO!$L$347*EFEITO!$Z$249</f>
        <v>7560.900872830628</v>
      </c>
      <c r="L347" s="55">
        <f>EFEITO!$N$347*EFEITO!$AA$249</f>
        <v>3203.7009969917531</v>
      </c>
      <c r="M347" s="55">
        <f>$J$347-EFEITO!$K$347*EFEITO!$Y$347</f>
        <v>0</v>
      </c>
      <c r="N347" s="55">
        <f ca="1">$K$347-EFEITO!$M$347*EFEITO!$Z$347</f>
        <v>4718.0021446463124</v>
      </c>
      <c r="O347" s="55">
        <f>$L$347-EFEITO!$O$347*EFEITO!$AA$347</f>
        <v>1999.1094221228539</v>
      </c>
      <c r="P347" s="39"/>
      <c r="Q347" s="39"/>
      <c r="R347" s="39"/>
      <c r="S347" s="39"/>
      <c r="T347" s="39"/>
      <c r="U347" s="39"/>
      <c r="V347" s="39"/>
      <c r="W347" s="39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35" t="s">
        <v>21</v>
      </c>
      <c r="B348" s="35" t="s">
        <v>40</v>
      </c>
      <c r="C348" s="35" t="s">
        <v>23</v>
      </c>
      <c r="D348" s="35" t="s">
        <v>41</v>
      </c>
      <c r="E348" s="35" t="s">
        <v>50</v>
      </c>
      <c r="F348" s="35" t="s">
        <v>52</v>
      </c>
      <c r="G348" s="35" t="s">
        <v>25</v>
      </c>
      <c r="H348" s="35" t="s">
        <v>25</v>
      </c>
      <c r="I348" s="54">
        <v>44562</v>
      </c>
      <c r="J348" s="55">
        <f>EFEITO!$J$348*EFEITO!$Y$249</f>
        <v>0</v>
      </c>
      <c r="K348" s="55">
        <f ca="1">EFEITO!$L$348*EFEITO!$Z$249</f>
        <v>2435.2594835804175</v>
      </c>
      <c r="L348" s="55">
        <f>EFEITO!$N$348*EFEITO!$AA$249</f>
        <v>1031.8668855341539</v>
      </c>
      <c r="M348" s="55">
        <f>$J$348-EFEITO!$K$348*EFEITO!$Y$348</f>
        <v>0</v>
      </c>
      <c r="N348" s="55">
        <f ca="1">$K$348-EFEITO!$M$348*EFEITO!$Z$348</f>
        <v>1519.6019177541807</v>
      </c>
      <c r="O348" s="55">
        <f>$L$348-EFEITO!$O$348*EFEITO!$AA$348</f>
        <v>643.88493657331207</v>
      </c>
      <c r="P348" s="39"/>
      <c r="Q348" s="39"/>
      <c r="R348" s="39"/>
      <c r="S348" s="39"/>
      <c r="T348" s="39"/>
      <c r="U348" s="39"/>
      <c r="V348" s="39"/>
      <c r="W348" s="39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35" t="s">
        <v>21</v>
      </c>
      <c r="B349" s="35" t="s">
        <v>40</v>
      </c>
      <c r="C349" s="35" t="s">
        <v>23</v>
      </c>
      <c r="D349" s="35" t="s">
        <v>41</v>
      </c>
      <c r="E349" s="35" t="s">
        <v>50</v>
      </c>
      <c r="F349" s="35" t="s">
        <v>52</v>
      </c>
      <c r="G349" s="35" t="s">
        <v>25</v>
      </c>
      <c r="H349" s="35" t="s">
        <v>25</v>
      </c>
      <c r="I349" s="54">
        <v>44593</v>
      </c>
      <c r="J349" s="55">
        <f>EFEITO!$J$349*EFEITO!$Y$249</f>
        <v>0</v>
      </c>
      <c r="K349" s="55">
        <f ca="1">EFEITO!$L$349*EFEITO!$Z$249</f>
        <v>2152.1304834229095</v>
      </c>
      <c r="L349" s="55">
        <f>EFEITO!$N$349*EFEITO!$AA$249</f>
        <v>911.89961240915864</v>
      </c>
      <c r="M349" s="55">
        <f>$J$349-EFEITO!$K$349*EFEITO!$Y$349</f>
        <v>0</v>
      </c>
      <c r="N349" s="55">
        <f ca="1">$K$349-EFEITO!$M$349*EFEITO!$Z$349</f>
        <v>1342.9294216558956</v>
      </c>
      <c r="O349" s="55">
        <f>$L$349-EFEITO!$O$349*EFEITO!$AA$349</f>
        <v>569.02535814331497</v>
      </c>
      <c r="P349" s="39"/>
      <c r="Q349" s="39"/>
      <c r="R349" s="39"/>
      <c r="S349" s="39"/>
      <c r="T349" s="39"/>
      <c r="U349" s="39"/>
      <c r="V349" s="39"/>
      <c r="W349" s="39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35" t="s">
        <v>21</v>
      </c>
      <c r="B350" s="35" t="s">
        <v>40</v>
      </c>
      <c r="C350" s="35" t="s">
        <v>23</v>
      </c>
      <c r="D350" s="35" t="s">
        <v>41</v>
      </c>
      <c r="E350" s="35" t="s">
        <v>50</v>
      </c>
      <c r="F350" s="35" t="s">
        <v>52</v>
      </c>
      <c r="G350" s="35" t="s">
        <v>25</v>
      </c>
      <c r="H350" s="35" t="s">
        <v>25</v>
      </c>
      <c r="I350" s="54">
        <v>44621</v>
      </c>
      <c r="J350" s="55">
        <f>EFEITO!$J$350*EFEITO!$Y$249</f>
        <v>0</v>
      </c>
      <c r="K350" s="55">
        <f ca="1">EFEITO!$L$350*EFEITO!$Z$249</f>
        <v>5609.6300664900937</v>
      </c>
      <c r="L350" s="55">
        <f>EFEITO!$N$350*EFEITO!$AA$249</f>
        <v>2376.909542796463</v>
      </c>
      <c r="M350" s="55">
        <f>$J$350-EFEITO!$K$350*EFEITO!$Y$350</f>
        <v>0</v>
      </c>
      <c r="N350" s="55">
        <f ca="1">$K$350-EFEITO!$M$350*EFEITO!$Z$350</f>
        <v>3500.4091614898189</v>
      </c>
      <c r="O350" s="55">
        <f>$L$350-EFEITO!$O$350*EFEITO!$AA$350</f>
        <v>1483.191554704993</v>
      </c>
      <c r="P350" s="39"/>
      <c r="Q350" s="39"/>
      <c r="R350" s="39"/>
      <c r="S350" s="39"/>
      <c r="T350" s="39"/>
      <c r="U350" s="39"/>
      <c r="V350" s="39"/>
      <c r="W350" s="39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35" t="s">
        <v>21</v>
      </c>
      <c r="B351" s="35" t="s">
        <v>40</v>
      </c>
      <c r="C351" s="35" t="s">
        <v>23</v>
      </c>
      <c r="D351" s="35" t="s">
        <v>41</v>
      </c>
      <c r="E351" s="35" t="s">
        <v>50</v>
      </c>
      <c r="F351" s="35" t="s">
        <v>52</v>
      </c>
      <c r="G351" s="35" t="s">
        <v>25</v>
      </c>
      <c r="H351" s="35" t="s">
        <v>25</v>
      </c>
      <c r="I351" s="54">
        <v>44652</v>
      </c>
      <c r="J351" s="55">
        <f>EFEITO!$J$351*EFEITO!$Y$249</f>
        <v>0</v>
      </c>
      <c r="K351" s="55">
        <f ca="1">EFEITO!$L$351*EFEITO!$Z$249</f>
        <v>10186.955169500185</v>
      </c>
      <c r="L351" s="55">
        <f>EFEITO!$N$351*EFEITO!$AA$249</f>
        <v>4316.411361787882</v>
      </c>
      <c r="M351" s="55">
        <f>$J$351-EFEITO!$K$351*EFEITO!$Y$351</f>
        <v>0</v>
      </c>
      <c r="N351" s="55">
        <f ca="1">$K$351-EFEITO!$M$351*EFEITO!$Z$351</f>
        <v>6356.6600257681148</v>
      </c>
      <c r="O351" s="55">
        <f>$L$351-EFEITO!$O$351*EFEITO!$AA$351</f>
        <v>2693.4406897556382</v>
      </c>
      <c r="P351" s="39"/>
      <c r="Q351" s="39"/>
      <c r="R351" s="39"/>
      <c r="S351" s="39"/>
      <c r="T351" s="39"/>
      <c r="U351" s="39"/>
      <c r="V351" s="39"/>
      <c r="W351" s="39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35" t="s">
        <v>21</v>
      </c>
      <c r="B352" s="35" t="s">
        <v>40</v>
      </c>
      <c r="C352" s="35" t="s">
        <v>23</v>
      </c>
      <c r="D352" s="35" t="s">
        <v>41</v>
      </c>
      <c r="E352" s="35" t="s">
        <v>50</v>
      </c>
      <c r="F352" s="35" t="s">
        <v>52</v>
      </c>
      <c r="G352" s="35" t="s">
        <v>25</v>
      </c>
      <c r="H352" s="35" t="s">
        <v>25</v>
      </c>
      <c r="I352" s="54">
        <v>44682</v>
      </c>
      <c r="J352" s="55">
        <f>EFEITO!$J$352*EFEITO!$Y$249</f>
        <v>0</v>
      </c>
      <c r="K352" s="55">
        <f ca="1">EFEITO!$L$352*EFEITO!$Z$249</f>
        <v>31419.004564619372</v>
      </c>
      <c r="L352" s="55">
        <f>EFEITO!$N$352*EFEITO!$AA$249</f>
        <v>13312.844321218539</v>
      </c>
      <c r="M352" s="55">
        <f>$J$352-EFEITO!$K$352*EFEITO!$Y$352</f>
        <v>0</v>
      </c>
      <c r="N352" s="55">
        <f ca="1">$K$352-EFEITO!$M$352*EFEITO!$Z$352</f>
        <v>19605.458848322491</v>
      </c>
      <c r="O352" s="55">
        <f>$L$352-EFEITO!$O$352*EFEITO!$AA$352</f>
        <v>8307.2148564403687</v>
      </c>
      <c r="P352" s="39"/>
      <c r="Q352" s="39"/>
      <c r="R352" s="39"/>
      <c r="S352" s="39"/>
      <c r="T352" s="39"/>
      <c r="U352" s="39"/>
      <c r="V352" s="39"/>
      <c r="W352" s="39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35" t="s">
        <v>21</v>
      </c>
      <c r="B353" s="35" t="s">
        <v>40</v>
      </c>
      <c r="C353" s="35" t="s">
        <v>23</v>
      </c>
      <c r="D353" s="35" t="s">
        <v>41</v>
      </c>
      <c r="E353" s="35" t="s">
        <v>50</v>
      </c>
      <c r="F353" s="35" t="s">
        <v>52</v>
      </c>
      <c r="G353" s="35" t="s">
        <v>25</v>
      </c>
      <c r="H353" s="35" t="s">
        <v>25</v>
      </c>
      <c r="I353" s="54">
        <v>44713</v>
      </c>
      <c r="J353" s="55">
        <f>EFEITO!$J$353*EFEITO!$Y$249</f>
        <v>0</v>
      </c>
      <c r="K353" s="55">
        <f ca="1">EFEITO!$L$353*EFEITO!$Z$249</f>
        <v>36500.885675638128</v>
      </c>
      <c r="L353" s="55">
        <f>EFEITO!$N$353*EFEITO!$AA$249</f>
        <v>15466.136350276603</v>
      </c>
      <c r="M353" s="55">
        <f>$J$353-EFEITO!$K$353*EFEITO!$Y$353</f>
        <v>0</v>
      </c>
      <c r="N353" s="55">
        <f ca="1">$K$353-EFEITO!$M$353*EFEITO!$Z$353</f>
        <v>22776.552661598194</v>
      </c>
      <c r="O353" s="55">
        <f>$L$353-EFEITO!$O$353*EFEITO!$AA$353</f>
        <v>9650.8690825726007</v>
      </c>
      <c r="P353" s="39"/>
      <c r="Q353" s="39"/>
      <c r="R353" s="39"/>
      <c r="S353" s="39"/>
      <c r="T353" s="39"/>
      <c r="U353" s="39"/>
      <c r="V353" s="39"/>
      <c r="W353" s="39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35" t="s">
        <v>21</v>
      </c>
      <c r="B354" s="35" t="s">
        <v>40</v>
      </c>
      <c r="C354" s="35" t="s">
        <v>23</v>
      </c>
      <c r="D354" s="35" t="s">
        <v>41</v>
      </c>
      <c r="E354" s="35" t="s">
        <v>50</v>
      </c>
      <c r="F354" s="35" t="s">
        <v>52</v>
      </c>
      <c r="G354" s="35" t="s">
        <v>25</v>
      </c>
      <c r="H354" s="35" t="s">
        <v>25</v>
      </c>
      <c r="I354" s="54">
        <v>44743</v>
      </c>
      <c r="J354" s="55">
        <f>EFEITO!$J$354*EFEITO!$Y$249</f>
        <v>0</v>
      </c>
      <c r="K354" s="55">
        <f ca="1">EFEITO!$L$354*EFEITO!$Z$249</f>
        <v>39997.769509113619</v>
      </c>
      <c r="L354" s="55">
        <f>EFEITO!$N$354*EFEITO!$AA$249</f>
        <v>16947.834154823489</v>
      </c>
      <c r="M354" s="55">
        <f>$J$354-EFEITO!$K$354*EFEITO!$Y$354</f>
        <v>0</v>
      </c>
      <c r="N354" s="55">
        <f ca="1">$K$354-EFEITO!$M$354*EFEITO!$Z$354</f>
        <v>24958.608173686902</v>
      </c>
      <c r="O354" s="55">
        <f>$L$354-EFEITO!$O$354*EFEITO!$AA$354</f>
        <v>10575.448512609857</v>
      </c>
      <c r="P354" s="39"/>
      <c r="Q354" s="39"/>
      <c r="R354" s="39"/>
      <c r="S354" s="39"/>
      <c r="T354" s="39"/>
      <c r="U354" s="39"/>
      <c r="V354" s="39"/>
      <c r="W354" s="39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35" t="s">
        <v>21</v>
      </c>
      <c r="B355" s="35" t="s">
        <v>40</v>
      </c>
      <c r="C355" s="35" t="s">
        <v>23</v>
      </c>
      <c r="D355" s="35" t="s">
        <v>41</v>
      </c>
      <c r="E355" s="35" t="s">
        <v>50</v>
      </c>
      <c r="F355" s="35" t="s">
        <v>52</v>
      </c>
      <c r="G355" s="35" t="s">
        <v>25</v>
      </c>
      <c r="H355" s="35" t="s">
        <v>25</v>
      </c>
      <c r="I355" s="54">
        <v>44774</v>
      </c>
      <c r="J355" s="55">
        <f>EFEITO!$J$355*EFEITO!$Y$249</f>
        <v>0</v>
      </c>
      <c r="K355" s="55">
        <f ca="1">EFEITO!$L$355*EFEITO!$Z$249</f>
        <v>53790.571604885619</v>
      </c>
      <c r="L355" s="55">
        <f>EFEITO!$N$355*EFEITO!$AA$249</f>
        <v>22792.113106333101</v>
      </c>
      <c r="M355" s="55">
        <f>$J$355-EFEITO!$K$355*EFEITO!$Y$355</f>
        <v>0</v>
      </c>
      <c r="N355" s="55">
        <f ca="1">$K$355-EFEITO!$M$355*EFEITO!$Z$355</f>
        <v>33565.316681448632</v>
      </c>
      <c r="O355" s="55">
        <f>$L$355-EFEITO!$O$355*EFEITO!$AA$355</f>
        <v>14222.278578351856</v>
      </c>
      <c r="P355" s="39"/>
      <c r="Q355" s="39"/>
      <c r="R355" s="39"/>
      <c r="S355" s="39"/>
      <c r="T355" s="39"/>
      <c r="U355" s="39"/>
      <c r="V355" s="39"/>
      <c r="W355" s="39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35" t="s">
        <v>21</v>
      </c>
      <c r="B356" s="35" t="s">
        <v>40</v>
      </c>
      <c r="C356" s="35" t="s">
        <v>23</v>
      </c>
      <c r="D356" s="35" t="s">
        <v>41</v>
      </c>
      <c r="E356" s="35" t="s">
        <v>53</v>
      </c>
      <c r="F356" s="35" t="s">
        <v>51</v>
      </c>
      <c r="G356" s="35" t="s">
        <v>25</v>
      </c>
      <c r="H356" s="35" t="s">
        <v>25</v>
      </c>
      <c r="I356" s="54">
        <v>44713</v>
      </c>
      <c r="J356" s="55">
        <f>EFEITO!$J$356*EFEITO!$Y$249</f>
        <v>0</v>
      </c>
      <c r="K356" s="55">
        <f ca="1">EFEITO!$L$356*EFEITO!$Z$249</f>
        <v>729.04623533602421</v>
      </c>
      <c r="L356" s="55">
        <f>EFEITO!$N$356*EFEITO!$AA$249</f>
        <v>308.91109277626236</v>
      </c>
      <c r="M356" s="55">
        <f>$J$356-EFEITO!$K$356*EFEITO!$Y$356</f>
        <v>0</v>
      </c>
      <c r="N356" s="55">
        <f ca="1">$K$356-EFEITO!$M$356*EFEITO!$Z$356</f>
        <v>43.742774120161471</v>
      </c>
      <c r="O356" s="55">
        <f>$L$356-EFEITO!$O$356*EFEITO!$AA$356</f>
        <v>18.534665566575768</v>
      </c>
      <c r="P356" s="39"/>
      <c r="Q356" s="39"/>
      <c r="R356" s="39"/>
      <c r="S356" s="39"/>
      <c r="T356" s="39"/>
      <c r="U356" s="39"/>
      <c r="V356" s="39"/>
      <c r="W356" s="39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35" t="s">
        <v>21</v>
      </c>
      <c r="B357" s="35" t="s">
        <v>40</v>
      </c>
      <c r="C357" s="35" t="s">
        <v>23</v>
      </c>
      <c r="D357" s="35" t="s">
        <v>41</v>
      </c>
      <c r="E357" s="35" t="s">
        <v>53</v>
      </c>
      <c r="F357" s="35" t="s">
        <v>51</v>
      </c>
      <c r="G357" s="35" t="s">
        <v>25</v>
      </c>
      <c r="H357" s="35" t="s">
        <v>25</v>
      </c>
      <c r="I357" s="54">
        <v>44743</v>
      </c>
      <c r="J357" s="55">
        <f>EFEITO!$J$357*EFEITO!$Y$249</f>
        <v>0</v>
      </c>
      <c r="K357" s="55">
        <f ca="1">EFEITO!$L$357*EFEITO!$Z$249</f>
        <v>712.41732960807167</v>
      </c>
      <c r="L357" s="55">
        <f>EFEITO!$N$357*EFEITO!$AA$249</f>
        <v>301.86510146443885</v>
      </c>
      <c r="M357" s="55">
        <f>$J$357-EFEITO!$K$357*EFEITO!$Y$357</f>
        <v>0</v>
      </c>
      <c r="N357" s="55">
        <f ca="1">$K$357-EFEITO!$M$357*EFEITO!$Z$357</f>
        <v>42.745039776484305</v>
      </c>
      <c r="O357" s="55">
        <f>$L$357-EFEITO!$O$357*EFEITO!$AA$357</f>
        <v>18.111906087866316</v>
      </c>
      <c r="P357" s="39"/>
      <c r="Q357" s="39"/>
      <c r="R357" s="39"/>
      <c r="S357" s="39"/>
      <c r="T357" s="39"/>
      <c r="U357" s="39"/>
      <c r="V357" s="39"/>
      <c r="W357" s="39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35" t="s">
        <v>21</v>
      </c>
      <c r="B358" s="35" t="s">
        <v>40</v>
      </c>
      <c r="C358" s="35" t="s">
        <v>23</v>
      </c>
      <c r="D358" s="35" t="s">
        <v>41</v>
      </c>
      <c r="E358" s="35" t="s">
        <v>53</v>
      </c>
      <c r="F358" s="35" t="s">
        <v>51</v>
      </c>
      <c r="G358" s="35" t="s">
        <v>25</v>
      </c>
      <c r="H358" s="35" t="s">
        <v>25</v>
      </c>
      <c r="I358" s="54">
        <v>44774</v>
      </c>
      <c r="J358" s="55">
        <f>EFEITO!$J$358*EFEITO!$Y$249</f>
        <v>0</v>
      </c>
      <c r="K358" s="55">
        <f ca="1">EFEITO!$L$358*EFEITO!$Z$249</f>
        <v>381.15202339596465</v>
      </c>
      <c r="L358" s="55">
        <f>EFEITO!$N$358*EFEITO!$AA$249</f>
        <v>161.5015376999547</v>
      </c>
      <c r="M358" s="55">
        <f>$J$358-EFEITO!$K$358*EFEITO!$Y$358</f>
        <v>0</v>
      </c>
      <c r="N358" s="55">
        <f ca="1">$K$358-EFEITO!$M$358*EFEITO!$Z$358</f>
        <v>22.869121403757902</v>
      </c>
      <c r="O358" s="55">
        <f>$L$358-EFEITO!$O$358*EFEITO!$AA$358</f>
        <v>9.6900922619972789</v>
      </c>
      <c r="P358" s="39"/>
      <c r="Q358" s="39"/>
      <c r="R358" s="39"/>
      <c r="S358" s="39"/>
      <c r="T358" s="39"/>
      <c r="U358" s="39"/>
      <c r="V358" s="39"/>
      <c r="W358" s="39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35" t="s">
        <v>21</v>
      </c>
      <c r="B359" s="35" t="s">
        <v>40</v>
      </c>
      <c r="C359" s="35" t="s">
        <v>23</v>
      </c>
      <c r="D359" s="35" t="s">
        <v>41</v>
      </c>
      <c r="E359" s="35" t="s">
        <v>53</v>
      </c>
      <c r="F359" s="35" t="s">
        <v>52</v>
      </c>
      <c r="G359" s="35" t="s">
        <v>25</v>
      </c>
      <c r="H359" s="35" t="s">
        <v>25</v>
      </c>
      <c r="I359" s="54">
        <v>44743</v>
      </c>
      <c r="J359" s="55">
        <f>EFEITO!$J$359*EFEITO!$Y$249</f>
        <v>0</v>
      </c>
      <c r="K359" s="55">
        <f ca="1">EFEITO!$L$359*EFEITO!$Z$249</f>
        <v>596.01498951240399</v>
      </c>
      <c r="L359" s="55">
        <f>EFEITO!$N$359*EFEITO!$AA$249</f>
        <v>252.54316228167428</v>
      </c>
      <c r="M359" s="55">
        <f>$J$359-EFEITO!$K$359*EFEITO!$Y$359</f>
        <v>0</v>
      </c>
      <c r="N359" s="55">
        <f ca="1">$K$359-EFEITO!$M$359*EFEITO!$Z$359</f>
        <v>371.91335345574009</v>
      </c>
      <c r="O359" s="55">
        <f>$L$359-EFEITO!$O$359*EFEITO!$AA$359</f>
        <v>157.58693326376476</v>
      </c>
      <c r="P359" s="39"/>
      <c r="Q359" s="39"/>
      <c r="R359" s="39"/>
      <c r="S359" s="39"/>
      <c r="T359" s="39"/>
      <c r="U359" s="39"/>
      <c r="V359" s="39"/>
      <c r="W359" s="39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35" t="s">
        <v>21</v>
      </c>
      <c r="B360" s="35" t="s">
        <v>40</v>
      </c>
      <c r="C360" s="35" t="s">
        <v>23</v>
      </c>
      <c r="D360" s="35" t="s">
        <v>41</v>
      </c>
      <c r="E360" s="35" t="s">
        <v>53</v>
      </c>
      <c r="F360" s="35" t="s">
        <v>52</v>
      </c>
      <c r="G360" s="35" t="s">
        <v>25</v>
      </c>
      <c r="H360" s="35" t="s">
        <v>25</v>
      </c>
      <c r="I360" s="54">
        <v>44774</v>
      </c>
      <c r="J360" s="55">
        <f>EFEITO!$J$360*EFEITO!$Y$249</f>
        <v>0</v>
      </c>
      <c r="K360" s="55">
        <f ca="1">EFEITO!$L$360*EFEITO!$Z$249</f>
        <v>320.32523665424355</v>
      </c>
      <c r="L360" s="55">
        <f>EFEITO!$N$360*EFEITO!$AA$249</f>
        <v>135.72804316460028</v>
      </c>
      <c r="M360" s="55">
        <f>$J$360-EFEITO!$K$360*EFEITO!$Y$360</f>
        <v>0</v>
      </c>
      <c r="N360" s="55">
        <f ca="1">$K$360-EFEITO!$M$360*EFEITO!$Z$360</f>
        <v>199.88294767224801</v>
      </c>
      <c r="O360" s="55">
        <f>$L$360-EFEITO!$O$360*EFEITO!$AA$360</f>
        <v>84.694298934710574</v>
      </c>
      <c r="P360" s="39"/>
      <c r="Q360" s="39"/>
      <c r="R360" s="39"/>
      <c r="S360" s="39"/>
      <c r="T360" s="39"/>
      <c r="U360" s="39"/>
      <c r="V360" s="39"/>
      <c r="W360" s="39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35" t="s">
        <v>21</v>
      </c>
      <c r="B361" s="35" t="s">
        <v>40</v>
      </c>
      <c r="C361" s="35" t="s">
        <v>23</v>
      </c>
      <c r="D361" s="35" t="s">
        <v>41</v>
      </c>
      <c r="E361" s="35" t="s">
        <v>25</v>
      </c>
      <c r="F361" s="35" t="s">
        <v>25</v>
      </c>
      <c r="G361" s="35" t="s">
        <v>25</v>
      </c>
      <c r="H361" s="35" t="s">
        <v>25</v>
      </c>
      <c r="I361" s="54">
        <v>44440</v>
      </c>
      <c r="J361" s="55">
        <f>EFEITO!$J$361*EFEITO!$Y$249</f>
        <v>0</v>
      </c>
      <c r="K361" s="55">
        <f ca="1">EFEITO!$L$361*EFEITO!$Z$249</f>
        <v>172233.45347448607</v>
      </c>
      <c r="L361" s="55">
        <f>EFEITO!$N$361*EFEITO!$AA$249</f>
        <v>72978.669591388025</v>
      </c>
      <c r="M361" s="55">
        <f>$J$361-EFEITO!$K$361*EFEITO!$Y$361</f>
        <v>0</v>
      </c>
      <c r="N361" s="55">
        <f ca="1">$K$361-EFEITO!$M$361*EFEITO!$Z$361</f>
        <v>10334.007208469178</v>
      </c>
      <c r="O361" s="55">
        <f>$L$361-EFEITO!$O$361*EFEITO!$AA$361</f>
        <v>4378.7201754832786</v>
      </c>
      <c r="P361" s="39"/>
      <c r="Q361" s="39"/>
      <c r="R361" s="39"/>
      <c r="S361" s="39"/>
      <c r="T361" s="39"/>
      <c r="U361" s="39"/>
      <c r="V361" s="39"/>
      <c r="W361" s="39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35" t="s">
        <v>28</v>
      </c>
      <c r="B362" s="35" t="s">
        <v>40</v>
      </c>
      <c r="C362" s="35" t="s">
        <v>23</v>
      </c>
      <c r="D362" s="35" t="s">
        <v>41</v>
      </c>
      <c r="E362" s="35" t="s">
        <v>25</v>
      </c>
      <c r="F362" s="35" t="s">
        <v>25</v>
      </c>
      <c r="G362" s="35" t="s">
        <v>25</v>
      </c>
      <c r="H362" s="35" t="s">
        <v>25</v>
      </c>
      <c r="I362" s="54">
        <v>44440</v>
      </c>
      <c r="J362" s="55">
        <f>EFEITO!$J$362*EFEITO!$Y$249</f>
        <v>0</v>
      </c>
      <c r="K362" s="55">
        <f ca="1">EFEITO!$L$362*EFEITO!$Z$249</f>
        <v>2984.4509753851653</v>
      </c>
      <c r="L362" s="55">
        <f>EFEITO!$N$362*EFEITO!$AA$249</f>
        <v>1264.5700196483249</v>
      </c>
      <c r="M362" s="55">
        <f>$J$362-EFEITO!$K$362*EFEITO!$Y$362</f>
        <v>0</v>
      </c>
      <c r="N362" s="55">
        <f ca="1">$K$362-EFEITO!$M$362*EFEITO!$Z$362</f>
        <v>179.06705852311006</v>
      </c>
      <c r="O362" s="55">
        <f>$L$362-EFEITO!$O$362*EFEITO!$AA$362</f>
        <v>75.874201178899284</v>
      </c>
      <c r="P362" s="39"/>
      <c r="Q362" s="39"/>
      <c r="R362" s="39"/>
      <c r="S362" s="39"/>
      <c r="T362" s="39"/>
      <c r="U362" s="39"/>
      <c r="V362" s="39"/>
      <c r="W362" s="39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35" t="s">
        <v>21</v>
      </c>
      <c r="B363" s="35" t="s">
        <v>40</v>
      </c>
      <c r="C363" s="35" t="s">
        <v>23</v>
      </c>
      <c r="D363" s="35" t="s">
        <v>41</v>
      </c>
      <c r="E363" s="35" t="s">
        <v>25</v>
      </c>
      <c r="F363" s="35" t="s">
        <v>25</v>
      </c>
      <c r="G363" s="35" t="s">
        <v>25</v>
      </c>
      <c r="H363" s="35" t="s">
        <v>25</v>
      </c>
      <c r="I363" s="54">
        <v>44470</v>
      </c>
      <c r="J363" s="55">
        <f>EFEITO!$J$363*EFEITO!$Y$249</f>
        <v>0</v>
      </c>
      <c r="K363" s="55">
        <f ca="1">EFEITO!$L$363*EFEITO!$Z$249</f>
        <v>174041.19056822741</v>
      </c>
      <c r="L363" s="55">
        <f>EFEITO!$N$363*EFEITO!$AA$249</f>
        <v>73744.643015312831</v>
      </c>
      <c r="M363" s="55">
        <f>$J$363-EFEITO!$K$363*EFEITO!$Y$363</f>
        <v>0</v>
      </c>
      <c r="N363" s="55">
        <f ca="1">$K$363-EFEITO!$M$363*EFEITO!$Z$363</f>
        <v>10442.471434093663</v>
      </c>
      <c r="O363" s="55">
        <f>$L$363-EFEITO!$O$363*EFEITO!$AA$363</f>
        <v>4424.6785809187713</v>
      </c>
      <c r="P363" s="39"/>
      <c r="Q363" s="39"/>
      <c r="R363" s="39"/>
      <c r="S363" s="39"/>
      <c r="T363" s="39"/>
      <c r="U363" s="39"/>
      <c r="V363" s="39"/>
      <c r="W363" s="39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35" t="s">
        <v>28</v>
      </c>
      <c r="B364" s="35" t="s">
        <v>40</v>
      </c>
      <c r="C364" s="35" t="s">
        <v>23</v>
      </c>
      <c r="D364" s="35" t="s">
        <v>41</v>
      </c>
      <c r="E364" s="35" t="s">
        <v>25</v>
      </c>
      <c r="F364" s="35" t="s">
        <v>25</v>
      </c>
      <c r="G364" s="35" t="s">
        <v>25</v>
      </c>
      <c r="H364" s="35" t="s">
        <v>25</v>
      </c>
      <c r="I364" s="54">
        <v>44470</v>
      </c>
      <c r="J364" s="55">
        <f>EFEITO!$J$364*EFEITO!$Y$249</f>
        <v>0</v>
      </c>
      <c r="K364" s="55">
        <f ca="1">EFEITO!$L$364*EFEITO!$Z$249</f>
        <v>2959.5076167932366</v>
      </c>
      <c r="L364" s="55">
        <f>EFEITO!$N$364*EFEITO!$AA$249</f>
        <v>1254.0010326805896</v>
      </c>
      <c r="M364" s="55">
        <f>$J$364-EFEITO!$K$364*EFEITO!$Y$364</f>
        <v>0</v>
      </c>
      <c r="N364" s="55">
        <f ca="1">$K$364-EFEITO!$M$364*EFEITO!$Z$364</f>
        <v>177.57045700759454</v>
      </c>
      <c r="O364" s="55">
        <f>$L$364-EFEITO!$O$364*EFEITO!$AA$364</f>
        <v>75.240061960835192</v>
      </c>
      <c r="P364" s="39"/>
      <c r="Q364" s="39"/>
      <c r="R364" s="39"/>
      <c r="S364" s="39"/>
      <c r="T364" s="39"/>
      <c r="U364" s="39"/>
      <c r="V364" s="39"/>
      <c r="W364" s="39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35" t="s">
        <v>21</v>
      </c>
      <c r="B365" s="35" t="s">
        <v>40</v>
      </c>
      <c r="C365" s="35" t="s">
        <v>23</v>
      </c>
      <c r="D365" s="35" t="s">
        <v>41</v>
      </c>
      <c r="E365" s="35" t="s">
        <v>25</v>
      </c>
      <c r="F365" s="35" t="s">
        <v>25</v>
      </c>
      <c r="G365" s="35" t="s">
        <v>25</v>
      </c>
      <c r="H365" s="35" t="s">
        <v>25</v>
      </c>
      <c r="I365" s="54">
        <v>44501</v>
      </c>
      <c r="J365" s="55">
        <f>EFEITO!$J$365*EFEITO!$Y$249</f>
        <v>0</v>
      </c>
      <c r="K365" s="55">
        <f ca="1">EFEITO!$L$365*EFEITO!$Z$249</f>
        <v>130918.93719338799</v>
      </c>
      <c r="L365" s="55">
        <f>EFEITO!$N$365*EFEITO!$AA$249</f>
        <v>55472.904177162512</v>
      </c>
      <c r="M365" s="55">
        <f>$J$365-EFEITO!$K$365*EFEITO!$Y$365</f>
        <v>0</v>
      </c>
      <c r="N365" s="55">
        <f ca="1">$K$365-EFEITO!$M$365*EFEITO!$Z$365</f>
        <v>7855.1362316032901</v>
      </c>
      <c r="O365" s="55">
        <f>$L$365-EFEITO!$O$365*EFEITO!$AA$365</f>
        <v>3328.3742506297494</v>
      </c>
      <c r="P365" s="39"/>
      <c r="Q365" s="39"/>
      <c r="R365" s="39"/>
      <c r="S365" s="39"/>
      <c r="T365" s="39"/>
      <c r="U365" s="39"/>
      <c r="V365" s="39"/>
      <c r="W365" s="39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35" t="s">
        <v>27</v>
      </c>
      <c r="B366" s="35" t="s">
        <v>40</v>
      </c>
      <c r="C366" s="35" t="s">
        <v>23</v>
      </c>
      <c r="D366" s="35" t="s">
        <v>41</v>
      </c>
      <c r="E366" s="35" t="s">
        <v>25</v>
      </c>
      <c r="F366" s="35" t="s">
        <v>25</v>
      </c>
      <c r="G366" s="35" t="s">
        <v>25</v>
      </c>
      <c r="H366" s="35" t="s">
        <v>25</v>
      </c>
      <c r="I366" s="54">
        <v>44501</v>
      </c>
      <c r="J366" s="55">
        <f>EFEITO!$J$366*EFEITO!$Y$249</f>
        <v>0</v>
      </c>
      <c r="K366" s="55">
        <f ca="1">EFEITO!$L$366*EFEITO!$Z$249</f>
        <v>-1379.3239698554314</v>
      </c>
      <c r="L366" s="55">
        <f>EFEITO!$N$366*EFEITO!$AA$249</f>
        <v>-584.44643723336071</v>
      </c>
      <c r="M366" s="55">
        <f>$J$366-EFEITO!$K$366*EFEITO!$Y$366</f>
        <v>0</v>
      </c>
      <c r="N366" s="55">
        <f ca="1">$K$366-EFEITO!$M$366*EFEITO!$Z$366</f>
        <v>-82.759438191326126</v>
      </c>
      <c r="O366" s="55">
        <f>$L$366-EFEITO!$O$366*EFEITO!$AA$366</f>
        <v>-35.066786234001597</v>
      </c>
      <c r="P366" s="39"/>
      <c r="Q366" s="39"/>
      <c r="R366" s="39"/>
      <c r="S366" s="39"/>
      <c r="T366" s="39"/>
      <c r="U366" s="39"/>
      <c r="V366" s="39"/>
      <c r="W366" s="39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35" t="s">
        <v>28</v>
      </c>
      <c r="B367" s="35" t="s">
        <v>40</v>
      </c>
      <c r="C367" s="35" t="s">
        <v>23</v>
      </c>
      <c r="D367" s="35" t="s">
        <v>41</v>
      </c>
      <c r="E367" s="35" t="s">
        <v>25</v>
      </c>
      <c r="F367" s="35" t="s">
        <v>25</v>
      </c>
      <c r="G367" s="35" t="s">
        <v>25</v>
      </c>
      <c r="H367" s="35" t="s">
        <v>25</v>
      </c>
      <c r="I367" s="54">
        <v>44501</v>
      </c>
      <c r="J367" s="55">
        <f>EFEITO!$J$367*EFEITO!$Y$249</f>
        <v>0</v>
      </c>
      <c r="K367" s="55">
        <f ca="1">EFEITO!$L$367*EFEITO!$Z$249</f>
        <v>2555.6002487169158</v>
      </c>
      <c r="L367" s="55">
        <f>EFEITO!$N$367*EFEITO!$AA$249</f>
        <v>1082.8576121328765</v>
      </c>
      <c r="M367" s="55">
        <f>$J$367-EFEITO!$K$367*EFEITO!$Y$367</f>
        <v>0</v>
      </c>
      <c r="N367" s="55">
        <f ca="1">$K$367-EFEITO!$M$367*EFEITO!$Z$367</f>
        <v>153.33601492301523</v>
      </c>
      <c r="O367" s="55">
        <f>$L$367-EFEITO!$O$367*EFEITO!$AA$367</f>
        <v>64.971456727972623</v>
      </c>
      <c r="P367" s="39"/>
      <c r="Q367" s="39"/>
      <c r="R367" s="39"/>
      <c r="S367" s="39"/>
      <c r="T367" s="39"/>
      <c r="U367" s="39"/>
      <c r="V367" s="39"/>
      <c r="W367" s="39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35" t="s">
        <v>21</v>
      </c>
      <c r="B368" s="35" t="s">
        <v>40</v>
      </c>
      <c r="C368" s="35" t="s">
        <v>23</v>
      </c>
      <c r="D368" s="35" t="s">
        <v>41</v>
      </c>
      <c r="E368" s="35" t="s">
        <v>25</v>
      </c>
      <c r="F368" s="35" t="s">
        <v>25</v>
      </c>
      <c r="G368" s="35" t="s">
        <v>25</v>
      </c>
      <c r="H368" s="35" t="s">
        <v>25</v>
      </c>
      <c r="I368" s="54">
        <v>44531</v>
      </c>
      <c r="J368" s="55">
        <f>EFEITO!$J$368*EFEITO!$Y$249</f>
        <v>0</v>
      </c>
      <c r="K368" s="55">
        <f ca="1">EFEITO!$L$368*EFEITO!$Z$249</f>
        <v>124697.97604000448</v>
      </c>
      <c r="L368" s="55">
        <f>EFEITO!$N$368*EFEITO!$AA$249</f>
        <v>52836.96174324453</v>
      </c>
      <c r="M368" s="55">
        <f>$J$368-EFEITO!$K$368*EFEITO!$Y$368</f>
        <v>0</v>
      </c>
      <c r="N368" s="55">
        <f ca="1">$K$368-EFEITO!$M$368*EFEITO!$Z$368</f>
        <v>7481.8785624002776</v>
      </c>
      <c r="O368" s="55">
        <f>$L$368-EFEITO!$O$368*EFEITO!$AA$368</f>
        <v>3170.2177045946664</v>
      </c>
      <c r="P368" s="39"/>
      <c r="Q368" s="39"/>
      <c r="R368" s="39"/>
      <c r="S368" s="39"/>
      <c r="T368" s="39"/>
      <c r="U368" s="39"/>
      <c r="V368" s="39"/>
      <c r="W368" s="39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35" t="s">
        <v>27</v>
      </c>
      <c r="B369" s="35" t="s">
        <v>40</v>
      </c>
      <c r="C369" s="35" t="s">
        <v>23</v>
      </c>
      <c r="D369" s="35" t="s">
        <v>41</v>
      </c>
      <c r="E369" s="35" t="s">
        <v>25</v>
      </c>
      <c r="F369" s="35" t="s">
        <v>25</v>
      </c>
      <c r="G369" s="35" t="s">
        <v>25</v>
      </c>
      <c r="H369" s="35" t="s">
        <v>25</v>
      </c>
      <c r="I369" s="54">
        <v>44531</v>
      </c>
      <c r="J369" s="55">
        <f>EFEITO!$J$369*EFEITO!$Y$249</f>
        <v>0</v>
      </c>
      <c r="K369" s="55">
        <f ca="1">EFEITO!$L$369*EFEITO!$Z$249</f>
        <v>-43.760278231454038</v>
      </c>
      <c r="L369" s="55">
        <f>EFEITO!$N$369*EFEITO!$AA$249</f>
        <v>-18.542082399535555</v>
      </c>
      <c r="M369" s="55">
        <f>$J$369-EFEITO!$K$369*EFEITO!$Y$369</f>
        <v>0</v>
      </c>
      <c r="N369" s="55">
        <f ca="1">$K$369-EFEITO!$M$369*EFEITO!$Z$369</f>
        <v>-2.6256166938872454</v>
      </c>
      <c r="O369" s="55">
        <f>$L$369-EFEITO!$O$369*EFEITO!$AA$369</f>
        <v>-1.112524943972133</v>
      </c>
      <c r="P369" s="39"/>
      <c r="Q369" s="39"/>
      <c r="R369" s="39"/>
      <c r="S369" s="39"/>
      <c r="T369" s="39"/>
      <c r="U369" s="39"/>
      <c r="V369" s="39"/>
      <c r="W369" s="39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35" t="s">
        <v>28</v>
      </c>
      <c r="B370" s="35" t="s">
        <v>40</v>
      </c>
      <c r="C370" s="35" t="s">
        <v>23</v>
      </c>
      <c r="D370" s="35" t="s">
        <v>41</v>
      </c>
      <c r="E370" s="35" t="s">
        <v>25</v>
      </c>
      <c r="F370" s="35" t="s">
        <v>25</v>
      </c>
      <c r="G370" s="35" t="s">
        <v>25</v>
      </c>
      <c r="H370" s="35" t="s">
        <v>25</v>
      </c>
      <c r="I370" s="54">
        <v>44531</v>
      </c>
      <c r="J370" s="55">
        <f>EFEITO!$J$370*EFEITO!$Y$249</f>
        <v>0</v>
      </c>
      <c r="K370" s="55">
        <f ca="1">EFEITO!$L$370*EFEITO!$Z$249</f>
        <v>2904.8072690039189</v>
      </c>
      <c r="L370" s="55">
        <f>EFEITO!$N$370*EFEITO!$AA$249</f>
        <v>1230.8234296811702</v>
      </c>
      <c r="M370" s="55">
        <f>$J$370-EFEITO!$K$370*EFEITO!$Y$370</f>
        <v>0</v>
      </c>
      <c r="N370" s="55">
        <f ca="1">$K$370-EFEITO!$M$370*EFEITO!$Z$370</f>
        <v>174.28843614023526</v>
      </c>
      <c r="O370" s="55">
        <f>$L$370-EFEITO!$O$370*EFEITO!$AA$370</f>
        <v>73.849405780870256</v>
      </c>
      <c r="P370" s="39"/>
      <c r="Q370" s="39"/>
      <c r="R370" s="39"/>
      <c r="S370" s="39"/>
      <c r="T370" s="39"/>
      <c r="U370" s="39"/>
      <c r="V370" s="39"/>
      <c r="W370" s="39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35" t="s">
        <v>21</v>
      </c>
      <c r="B371" s="35" t="s">
        <v>40</v>
      </c>
      <c r="C371" s="35" t="s">
        <v>23</v>
      </c>
      <c r="D371" s="35" t="s">
        <v>41</v>
      </c>
      <c r="E371" s="35" t="s">
        <v>25</v>
      </c>
      <c r="F371" s="35" t="s">
        <v>25</v>
      </c>
      <c r="G371" s="35" t="s">
        <v>25</v>
      </c>
      <c r="H371" s="35" t="s">
        <v>25</v>
      </c>
      <c r="I371" s="54">
        <v>44562</v>
      </c>
      <c r="J371" s="55">
        <f>EFEITO!$J$371*EFEITO!$Y$249</f>
        <v>0</v>
      </c>
      <c r="K371" s="55">
        <f ca="1">EFEITO!$L$371*EFEITO!$Z$249</f>
        <v>118771.08395633636</v>
      </c>
      <c r="L371" s="55">
        <f>EFEITO!$N$371*EFEITO!$AA$249</f>
        <v>50325.622103051443</v>
      </c>
      <c r="M371" s="55">
        <f>$J$371-EFEITO!$K$371*EFEITO!$Y$371</f>
        <v>0</v>
      </c>
      <c r="N371" s="55">
        <f ca="1">$K$371-EFEITO!$M$371*EFEITO!$Z$371</f>
        <v>7126.2650373802026</v>
      </c>
      <c r="O371" s="55">
        <f>$L$371-EFEITO!$O$371*EFEITO!$AA$371</f>
        <v>3019.53732618309</v>
      </c>
      <c r="P371" s="39"/>
      <c r="Q371" s="39"/>
      <c r="R371" s="39"/>
      <c r="S371" s="39"/>
      <c r="T371" s="39"/>
      <c r="U371" s="39"/>
      <c r="V371" s="39"/>
      <c r="W371" s="39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35" t="s">
        <v>27</v>
      </c>
      <c r="B372" s="35" t="s">
        <v>40</v>
      </c>
      <c r="C372" s="35" t="s">
        <v>23</v>
      </c>
      <c r="D372" s="35" t="s">
        <v>41</v>
      </c>
      <c r="E372" s="35" t="s">
        <v>25</v>
      </c>
      <c r="F372" s="35" t="s">
        <v>25</v>
      </c>
      <c r="G372" s="35" t="s">
        <v>25</v>
      </c>
      <c r="H372" s="35" t="s">
        <v>25</v>
      </c>
      <c r="I372" s="54">
        <v>44562</v>
      </c>
      <c r="J372" s="55">
        <f>EFEITO!$J$372*EFEITO!$Y$249</f>
        <v>0</v>
      </c>
      <c r="K372" s="55">
        <f ca="1">EFEITO!$L$372*EFEITO!$Z$249</f>
        <v>-254.24721652474796</v>
      </c>
      <c r="L372" s="55">
        <f>EFEITO!$N$372*EFEITO!$AA$249</f>
        <v>-107.72949874130157</v>
      </c>
      <c r="M372" s="55">
        <f>$J$372-EFEITO!$K$372*EFEITO!$Y$372</f>
        <v>0</v>
      </c>
      <c r="N372" s="55">
        <f ca="1">$K$372-EFEITO!$M$372*EFEITO!$Z$372</f>
        <v>-15.254832991484903</v>
      </c>
      <c r="O372" s="55">
        <f>$L$372-EFEITO!$O$372*EFEITO!$AA$372</f>
        <v>-6.4637699244780862</v>
      </c>
      <c r="P372" s="39"/>
      <c r="Q372" s="39"/>
      <c r="R372" s="39"/>
      <c r="S372" s="39"/>
      <c r="T372" s="39"/>
      <c r="U372" s="39"/>
      <c r="V372" s="39"/>
      <c r="W372" s="39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35" t="s">
        <v>28</v>
      </c>
      <c r="B373" s="35" t="s">
        <v>40</v>
      </c>
      <c r="C373" s="35" t="s">
        <v>23</v>
      </c>
      <c r="D373" s="35" t="s">
        <v>41</v>
      </c>
      <c r="E373" s="35" t="s">
        <v>25</v>
      </c>
      <c r="F373" s="35" t="s">
        <v>25</v>
      </c>
      <c r="G373" s="35" t="s">
        <v>25</v>
      </c>
      <c r="H373" s="35" t="s">
        <v>25</v>
      </c>
      <c r="I373" s="54">
        <v>44562</v>
      </c>
      <c r="J373" s="55">
        <f>EFEITO!$J$373*EFEITO!$Y$249</f>
        <v>0</v>
      </c>
      <c r="K373" s="55">
        <f ca="1">EFEITO!$L$373*EFEITO!$Z$249</f>
        <v>3506.511094686412</v>
      </c>
      <c r="L373" s="55">
        <f>EFEITO!$N$373*EFEITO!$AA$249</f>
        <v>1485.777062674784</v>
      </c>
      <c r="M373" s="55">
        <f>$J$373-EFEITO!$K$373*EFEITO!$Y$373</f>
        <v>0</v>
      </c>
      <c r="N373" s="55">
        <f ca="1">$K$373-EFEITO!$M$373*EFEITO!$Z$373</f>
        <v>210.39066568118506</v>
      </c>
      <c r="O373" s="55">
        <f>$L$373-EFEITO!$O$373*EFEITO!$AA$373</f>
        <v>89.146623760487046</v>
      </c>
      <c r="P373" s="39"/>
      <c r="Q373" s="39"/>
      <c r="R373" s="39"/>
      <c r="S373" s="39"/>
      <c r="T373" s="39"/>
      <c r="U373" s="39"/>
      <c r="V373" s="39"/>
      <c r="W373" s="39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35" t="s">
        <v>21</v>
      </c>
      <c r="B374" s="35" t="s">
        <v>40</v>
      </c>
      <c r="C374" s="35" t="s">
        <v>23</v>
      </c>
      <c r="D374" s="35" t="s">
        <v>41</v>
      </c>
      <c r="E374" s="35" t="s">
        <v>25</v>
      </c>
      <c r="F374" s="35" t="s">
        <v>25</v>
      </c>
      <c r="G374" s="35" t="s">
        <v>25</v>
      </c>
      <c r="H374" s="35" t="s">
        <v>25</v>
      </c>
      <c r="I374" s="54">
        <v>44593</v>
      </c>
      <c r="J374" s="55">
        <f>EFEITO!$J$374*EFEITO!$Y$249</f>
        <v>0</v>
      </c>
      <c r="K374" s="55">
        <f ca="1">EFEITO!$L$374*EFEITO!$Z$249</f>
        <v>123604.40668700046</v>
      </c>
      <c r="L374" s="55">
        <f>EFEITO!$N$374*EFEITO!$AA$249</f>
        <v>52373.595104080145</v>
      </c>
      <c r="M374" s="55">
        <f>$J$374-EFEITO!$K$374*EFEITO!$Y$374</f>
        <v>0</v>
      </c>
      <c r="N374" s="55">
        <f ca="1">$K$374-EFEITO!$M$374*EFEITO!$Z$374</f>
        <v>7416.2644012200471</v>
      </c>
      <c r="O374" s="55">
        <f>$L$374-EFEITO!$O$374*EFEITO!$AA$374</f>
        <v>3142.4157062448066</v>
      </c>
      <c r="P374" s="39"/>
      <c r="Q374" s="39"/>
      <c r="R374" s="39"/>
      <c r="S374" s="39"/>
      <c r="T374" s="39"/>
      <c r="U374" s="39"/>
      <c r="V374" s="39"/>
      <c r="W374" s="39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35" t="s">
        <v>28</v>
      </c>
      <c r="B375" s="35" t="s">
        <v>40</v>
      </c>
      <c r="C375" s="35" t="s">
        <v>23</v>
      </c>
      <c r="D375" s="35" t="s">
        <v>41</v>
      </c>
      <c r="E375" s="35" t="s">
        <v>25</v>
      </c>
      <c r="F375" s="35" t="s">
        <v>25</v>
      </c>
      <c r="G375" s="35" t="s">
        <v>25</v>
      </c>
      <c r="H375" s="35" t="s">
        <v>25</v>
      </c>
      <c r="I375" s="54">
        <v>44593</v>
      </c>
      <c r="J375" s="55">
        <f>EFEITO!$J$375*EFEITO!$Y$249</f>
        <v>0</v>
      </c>
      <c r="K375" s="55">
        <f ca="1">EFEITO!$L$375*EFEITO!$Z$249</f>
        <v>2464.5788699954915</v>
      </c>
      <c r="L375" s="55">
        <f>EFEITO!$N$375*EFEITO!$AA$249</f>
        <v>1044.2900807418425</v>
      </c>
      <c r="M375" s="55">
        <f>$J$375-EFEITO!$K$375*EFEITO!$Y$375</f>
        <v>0</v>
      </c>
      <c r="N375" s="55">
        <f ca="1">$K$375-EFEITO!$M$375*EFEITO!$Z$375</f>
        <v>147.87473219972981</v>
      </c>
      <c r="O375" s="55">
        <f>$L$375-EFEITO!$O$375*EFEITO!$AA$375</f>
        <v>62.657404844510552</v>
      </c>
      <c r="P375" s="39"/>
      <c r="Q375" s="39"/>
      <c r="R375" s="39"/>
      <c r="S375" s="39"/>
      <c r="T375" s="39"/>
      <c r="U375" s="39"/>
      <c r="V375" s="39"/>
      <c r="W375" s="39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35" t="s">
        <v>21</v>
      </c>
      <c r="B376" s="35" t="s">
        <v>40</v>
      </c>
      <c r="C376" s="35" t="s">
        <v>23</v>
      </c>
      <c r="D376" s="35" t="s">
        <v>41</v>
      </c>
      <c r="E376" s="35" t="s">
        <v>25</v>
      </c>
      <c r="F376" s="35" t="s">
        <v>25</v>
      </c>
      <c r="G376" s="35" t="s">
        <v>25</v>
      </c>
      <c r="H376" s="35" t="s">
        <v>25</v>
      </c>
      <c r="I376" s="54">
        <v>44621</v>
      </c>
      <c r="J376" s="55">
        <f>EFEITO!$J$376*EFEITO!$Y$249</f>
        <v>0</v>
      </c>
      <c r="K376" s="55">
        <f ca="1">EFEITO!$L$376*EFEITO!$Z$249</f>
        <v>119015.26630886787</v>
      </c>
      <c r="L376" s="55">
        <f>EFEITO!$N$376*EFEITO!$AA$249</f>
        <v>50429.086922840848</v>
      </c>
      <c r="M376" s="55">
        <f>$J$376-EFEITO!$K$376*EFEITO!$Y$376</f>
        <v>0</v>
      </c>
      <c r="N376" s="55">
        <f ca="1">$K$376-EFEITO!$M$376*EFEITO!$Z$376</f>
        <v>7140.9159785320953</v>
      </c>
      <c r="O376" s="55">
        <f>$L$376-EFEITO!$O$376*EFEITO!$AA$376</f>
        <v>3025.7452153704508</v>
      </c>
      <c r="P376" s="39"/>
      <c r="Q376" s="39"/>
      <c r="R376" s="39"/>
      <c r="S376" s="39"/>
      <c r="T376" s="39"/>
      <c r="U376" s="39"/>
      <c r="V376" s="39"/>
      <c r="W376" s="39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35" t="s">
        <v>28</v>
      </c>
      <c r="B377" s="35" t="s">
        <v>40</v>
      </c>
      <c r="C377" s="35" t="s">
        <v>23</v>
      </c>
      <c r="D377" s="35" t="s">
        <v>41</v>
      </c>
      <c r="E377" s="35" t="s">
        <v>25</v>
      </c>
      <c r="F377" s="35" t="s">
        <v>25</v>
      </c>
      <c r="G377" s="35" t="s">
        <v>25</v>
      </c>
      <c r="H377" s="35" t="s">
        <v>25</v>
      </c>
      <c r="I377" s="54">
        <v>44621</v>
      </c>
      <c r="J377" s="55">
        <f>EFEITO!$J$377*EFEITO!$Y$249</f>
        <v>0</v>
      </c>
      <c r="K377" s="55">
        <f ca="1">EFEITO!$L$377*EFEITO!$Z$249</f>
        <v>4271.440758172228</v>
      </c>
      <c r="L377" s="55">
        <f>EFEITO!$N$377*EFEITO!$AA$249</f>
        <v>1809.8926630186654</v>
      </c>
      <c r="M377" s="55">
        <f>$J$377-EFEITO!$K$377*EFEITO!$Y$377</f>
        <v>0</v>
      </c>
      <c r="N377" s="55">
        <f ca="1">$K$377-EFEITO!$M$377*EFEITO!$Z$377</f>
        <v>256.28644549033379</v>
      </c>
      <c r="O377" s="55">
        <f>$L$377-EFEITO!$O$377*EFEITO!$AA$377</f>
        <v>108.59355978111989</v>
      </c>
      <c r="P377" s="39"/>
      <c r="Q377" s="39"/>
      <c r="R377" s="39"/>
      <c r="S377" s="39"/>
      <c r="T377" s="39"/>
      <c r="U377" s="39"/>
      <c r="V377" s="39"/>
      <c r="W377" s="39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35" t="s">
        <v>21</v>
      </c>
      <c r="B378" s="35" t="s">
        <v>40</v>
      </c>
      <c r="C378" s="35" t="s">
        <v>23</v>
      </c>
      <c r="D378" s="35" t="s">
        <v>41</v>
      </c>
      <c r="E378" s="35" t="s">
        <v>25</v>
      </c>
      <c r="F378" s="35" t="s">
        <v>25</v>
      </c>
      <c r="G378" s="35" t="s">
        <v>25</v>
      </c>
      <c r="H378" s="35" t="s">
        <v>25</v>
      </c>
      <c r="I378" s="54">
        <v>44652</v>
      </c>
      <c r="J378" s="55">
        <f>EFEITO!$J$378*EFEITO!$Y$249</f>
        <v>0</v>
      </c>
      <c r="K378" s="55">
        <f ca="1">EFEITO!$L$378*EFEITO!$Z$249</f>
        <v>113854.61669703248</v>
      </c>
      <c r="L378" s="55">
        <f>EFEITO!$N$378*EFEITO!$AA$249</f>
        <v>48242.419145463617</v>
      </c>
      <c r="M378" s="55">
        <f>$J$378-EFEITO!$K$378*EFEITO!$Y$378</f>
        <v>0</v>
      </c>
      <c r="N378" s="55">
        <f ca="1">$K$378-EFEITO!$M$378*EFEITO!$Z$378</f>
        <v>6831.2770018219599</v>
      </c>
      <c r="O378" s="55">
        <f>$L$378-EFEITO!$O$378*EFEITO!$AA$378</f>
        <v>2894.5451487278115</v>
      </c>
      <c r="P378" s="39"/>
      <c r="Q378" s="39"/>
      <c r="R378" s="39"/>
      <c r="S378" s="39"/>
      <c r="T378" s="39"/>
      <c r="U378" s="39"/>
      <c r="V378" s="39"/>
      <c r="W378" s="39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35" t="s">
        <v>28</v>
      </c>
      <c r="B379" s="35" t="s">
        <v>40</v>
      </c>
      <c r="C379" s="35" t="s">
        <v>23</v>
      </c>
      <c r="D379" s="35" t="s">
        <v>41</v>
      </c>
      <c r="E379" s="35" t="s">
        <v>25</v>
      </c>
      <c r="F379" s="35" t="s">
        <v>25</v>
      </c>
      <c r="G379" s="35" t="s">
        <v>25</v>
      </c>
      <c r="H379" s="35" t="s">
        <v>25</v>
      </c>
      <c r="I379" s="54">
        <v>44652</v>
      </c>
      <c r="J379" s="55">
        <f>EFEITO!$J$379*EFEITO!$Y$249</f>
        <v>0</v>
      </c>
      <c r="K379" s="55">
        <f ca="1">EFEITO!$L$379*EFEITO!$Z$249</f>
        <v>3176.5585968212486</v>
      </c>
      <c r="L379" s="55">
        <f>EFEITO!$N$379*EFEITO!$AA$249</f>
        <v>1345.9697613822862</v>
      </c>
      <c r="M379" s="55">
        <f>$J$379-EFEITO!$K$379*EFEITO!$Y$379</f>
        <v>0</v>
      </c>
      <c r="N379" s="55">
        <f ca="1">$K$379-EFEITO!$M$379*EFEITO!$Z$379</f>
        <v>190.59351580927523</v>
      </c>
      <c r="O379" s="55">
        <f>$L$379-EFEITO!$O$379*EFEITO!$AA$379</f>
        <v>80.75818568293721</v>
      </c>
      <c r="P379" s="39"/>
      <c r="Q379" s="39"/>
      <c r="R379" s="39"/>
      <c r="S379" s="39"/>
      <c r="T379" s="39"/>
      <c r="U379" s="39"/>
      <c r="V379" s="39"/>
      <c r="W379" s="39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35" t="s">
        <v>21</v>
      </c>
      <c r="B380" s="35" t="s">
        <v>40</v>
      </c>
      <c r="C380" s="35" t="s">
        <v>23</v>
      </c>
      <c r="D380" s="35" t="s">
        <v>41</v>
      </c>
      <c r="E380" s="35" t="s">
        <v>25</v>
      </c>
      <c r="F380" s="35" t="s">
        <v>25</v>
      </c>
      <c r="G380" s="35" t="s">
        <v>25</v>
      </c>
      <c r="H380" s="35" t="s">
        <v>25</v>
      </c>
      <c r="I380" s="54">
        <v>44682</v>
      </c>
      <c r="J380" s="55">
        <f>EFEITO!$J$380*EFEITO!$Y$249</f>
        <v>0</v>
      </c>
      <c r="K380" s="55">
        <f ca="1">EFEITO!$L$380*EFEITO!$Z$249</f>
        <v>127231.69614960568</v>
      </c>
      <c r="L380" s="55">
        <f>EFEITO!$N$380*EFEITO!$AA$249</f>
        <v>53910.548314177649</v>
      </c>
      <c r="M380" s="55">
        <f>$J$380-EFEITO!$K$380*EFEITO!$Y$380</f>
        <v>0</v>
      </c>
      <c r="N380" s="55">
        <f ca="1">$K$380-EFEITO!$M$380*EFEITO!$Z$380</f>
        <v>7633.9017689763568</v>
      </c>
      <c r="O380" s="55">
        <f>$L$380-EFEITO!$O$380*EFEITO!$AA$380</f>
        <v>3234.6328988506575</v>
      </c>
      <c r="P380" s="39"/>
      <c r="Q380" s="39"/>
      <c r="R380" s="39"/>
      <c r="S380" s="39"/>
      <c r="T380" s="39"/>
      <c r="U380" s="39"/>
      <c r="V380" s="39"/>
      <c r="W380" s="39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35" t="s">
        <v>28</v>
      </c>
      <c r="B381" s="35" t="s">
        <v>40</v>
      </c>
      <c r="C381" s="35" t="s">
        <v>23</v>
      </c>
      <c r="D381" s="35" t="s">
        <v>41</v>
      </c>
      <c r="E381" s="35" t="s">
        <v>25</v>
      </c>
      <c r="F381" s="35" t="s">
        <v>25</v>
      </c>
      <c r="G381" s="35" t="s">
        <v>25</v>
      </c>
      <c r="H381" s="35" t="s">
        <v>25</v>
      </c>
      <c r="I381" s="54">
        <v>44682</v>
      </c>
      <c r="J381" s="55">
        <f>EFEITO!$J$381*EFEITO!$Y$249</f>
        <v>0</v>
      </c>
      <c r="K381" s="55">
        <f ca="1">EFEITO!$L$381*EFEITO!$Z$249</f>
        <v>3487.6941750468868</v>
      </c>
      <c r="L381" s="55">
        <f>EFEITO!$N$381*EFEITO!$AA$249</f>
        <v>1477.8039672429838</v>
      </c>
      <c r="M381" s="55">
        <f>$J$381-EFEITO!$K$381*EFEITO!$Y$381</f>
        <v>0</v>
      </c>
      <c r="N381" s="55">
        <f ca="1">$K$381-EFEITO!$M$381*EFEITO!$Z$381</f>
        <v>209.26165050281361</v>
      </c>
      <c r="O381" s="55">
        <f>$L$381-EFEITO!$O$381*EFEITO!$AA$381</f>
        <v>88.668238034578962</v>
      </c>
      <c r="P381" s="39"/>
      <c r="Q381" s="39"/>
      <c r="R381" s="39"/>
      <c r="S381" s="39"/>
      <c r="T381" s="39"/>
      <c r="U381" s="39"/>
      <c r="V381" s="39"/>
      <c r="W381" s="39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35" t="s">
        <v>21</v>
      </c>
      <c r="B382" s="35" t="s">
        <v>40</v>
      </c>
      <c r="C382" s="35" t="s">
        <v>23</v>
      </c>
      <c r="D382" s="35" t="s">
        <v>41</v>
      </c>
      <c r="E382" s="35" t="s">
        <v>25</v>
      </c>
      <c r="F382" s="35" t="s">
        <v>25</v>
      </c>
      <c r="G382" s="35" t="s">
        <v>25</v>
      </c>
      <c r="H382" s="35" t="s">
        <v>25</v>
      </c>
      <c r="I382" s="54">
        <v>44713</v>
      </c>
      <c r="J382" s="55">
        <f>EFEITO!$J$382*EFEITO!$Y$249</f>
        <v>0</v>
      </c>
      <c r="K382" s="55">
        <f ca="1">EFEITO!$L$382*EFEITO!$Z$249</f>
        <v>109401.57078419972</v>
      </c>
      <c r="L382" s="55">
        <f>EFEITO!$N$382*EFEITO!$AA$249</f>
        <v>46355.57684048688</v>
      </c>
      <c r="M382" s="55">
        <f>$J$382-EFEITO!$K$382*EFEITO!$Y$382</f>
        <v>0</v>
      </c>
      <c r="N382" s="55">
        <f ca="1">$K$382-EFEITO!$M$382*EFEITO!$Z$382</f>
        <v>6564.0942470519949</v>
      </c>
      <c r="O382" s="55">
        <f>$L$382-EFEITO!$O$382*EFEITO!$AA$382</f>
        <v>2781.3346104292068</v>
      </c>
      <c r="P382" s="39"/>
      <c r="Q382" s="39"/>
      <c r="R382" s="39"/>
      <c r="S382" s="39"/>
      <c r="T382" s="39"/>
      <c r="U382" s="39"/>
      <c r="V382" s="39"/>
      <c r="W382" s="39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35" t="s">
        <v>28</v>
      </c>
      <c r="B383" s="35" t="s">
        <v>40</v>
      </c>
      <c r="C383" s="35" t="s">
        <v>23</v>
      </c>
      <c r="D383" s="35" t="s">
        <v>41</v>
      </c>
      <c r="E383" s="35" t="s">
        <v>25</v>
      </c>
      <c r="F383" s="35" t="s">
        <v>25</v>
      </c>
      <c r="G383" s="35" t="s">
        <v>25</v>
      </c>
      <c r="H383" s="35" t="s">
        <v>25</v>
      </c>
      <c r="I383" s="54">
        <v>44713</v>
      </c>
      <c r="J383" s="55">
        <f>EFEITO!$J$383*EFEITO!$Y$249</f>
        <v>0</v>
      </c>
      <c r="K383" s="55">
        <f ca="1">EFEITO!$L$383*EFEITO!$Z$249</f>
        <v>5329.5642858087876</v>
      </c>
      <c r="L383" s="55">
        <f>EFEITO!$N$383*EFEITO!$AA$249</f>
        <v>2258.2402154394354</v>
      </c>
      <c r="M383" s="55">
        <f>$J$383-EFEITO!$K$383*EFEITO!$Y$383</f>
        <v>0</v>
      </c>
      <c r="N383" s="55">
        <f ca="1">$K$383-EFEITO!$M$383*EFEITO!$Z$383</f>
        <v>319.7738571485279</v>
      </c>
      <c r="O383" s="55">
        <f>$L$383-EFEITO!$O$383*EFEITO!$AA$383</f>
        <v>135.49441292636584</v>
      </c>
      <c r="P383" s="39"/>
      <c r="Q383" s="39"/>
      <c r="R383" s="39"/>
      <c r="S383" s="39"/>
      <c r="T383" s="39"/>
      <c r="U383" s="39"/>
      <c r="V383" s="39"/>
      <c r="W383" s="39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35" t="s">
        <v>21</v>
      </c>
      <c r="B384" s="35" t="s">
        <v>40</v>
      </c>
      <c r="C384" s="35" t="s">
        <v>23</v>
      </c>
      <c r="D384" s="35" t="s">
        <v>41</v>
      </c>
      <c r="E384" s="35" t="s">
        <v>25</v>
      </c>
      <c r="F384" s="35" t="s">
        <v>25</v>
      </c>
      <c r="G384" s="35" t="s">
        <v>25</v>
      </c>
      <c r="H384" s="35" t="s">
        <v>25</v>
      </c>
      <c r="I384" s="54">
        <v>44743</v>
      </c>
      <c r="J384" s="55">
        <f>EFEITO!$J$384*EFEITO!$Y$249</f>
        <v>0</v>
      </c>
      <c r="K384" s="55">
        <f ca="1">EFEITO!$L$384*EFEITO!$Z$249</f>
        <v>95911.15221100708</v>
      </c>
      <c r="L384" s="55">
        <f>EFEITO!$N$384*EFEITO!$AA$249</f>
        <v>40639.423678358064</v>
      </c>
      <c r="M384" s="55">
        <f>$J$384-EFEITO!$K$384*EFEITO!$Y$384</f>
        <v>0</v>
      </c>
      <c r="N384" s="55">
        <f ca="1">$K$384-EFEITO!$M$384*EFEITO!$Z$384</f>
        <v>5754.6691326604341</v>
      </c>
      <c r="O384" s="55">
        <f>$L$384-EFEITO!$O$384*EFEITO!$AA$384</f>
        <v>2438.3654207014843</v>
      </c>
      <c r="P384" s="39"/>
      <c r="Q384" s="39"/>
      <c r="R384" s="39"/>
      <c r="S384" s="39"/>
      <c r="T384" s="39"/>
      <c r="U384" s="39"/>
      <c r="V384" s="39"/>
      <c r="W384" s="39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35" t="s">
        <v>28</v>
      </c>
      <c r="B385" s="35" t="s">
        <v>40</v>
      </c>
      <c r="C385" s="35" t="s">
        <v>23</v>
      </c>
      <c r="D385" s="35" t="s">
        <v>41</v>
      </c>
      <c r="E385" s="35" t="s">
        <v>25</v>
      </c>
      <c r="F385" s="35" t="s">
        <v>25</v>
      </c>
      <c r="G385" s="35" t="s">
        <v>25</v>
      </c>
      <c r="H385" s="35" t="s">
        <v>25</v>
      </c>
      <c r="I385" s="54">
        <v>44743</v>
      </c>
      <c r="J385" s="55">
        <f>EFEITO!$J$385*EFEITO!$Y$249</f>
        <v>0</v>
      </c>
      <c r="K385" s="55">
        <f ca="1">EFEITO!$L$385*EFEITO!$Z$249</f>
        <v>4688.0386069356709</v>
      </c>
      <c r="L385" s="55">
        <f>EFEITO!$N$385*EFEITO!$AA$249</f>
        <v>1986.4132874622439</v>
      </c>
      <c r="M385" s="55">
        <f>$J$385-EFEITO!$K$385*EFEITO!$Y$385</f>
        <v>0</v>
      </c>
      <c r="N385" s="55">
        <f ca="1">$K$385-EFEITO!$M$385*EFEITO!$Z$385</f>
        <v>281.28231641614093</v>
      </c>
      <c r="O385" s="55">
        <f>$L$385-EFEITO!$O$385*EFEITO!$AA$385</f>
        <v>119.18479724773465</v>
      </c>
      <c r="P385" s="39"/>
      <c r="Q385" s="39"/>
      <c r="R385" s="39"/>
      <c r="S385" s="39"/>
      <c r="T385" s="39"/>
      <c r="U385" s="39"/>
      <c r="V385" s="39"/>
      <c r="W385" s="39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35" t="s">
        <v>21</v>
      </c>
      <c r="B386" s="35" t="s">
        <v>40</v>
      </c>
      <c r="C386" s="35" t="s">
        <v>23</v>
      </c>
      <c r="D386" s="35" t="s">
        <v>41</v>
      </c>
      <c r="E386" s="35" t="s">
        <v>25</v>
      </c>
      <c r="F386" s="35" t="s">
        <v>25</v>
      </c>
      <c r="G386" s="35" t="s">
        <v>25</v>
      </c>
      <c r="H386" s="35" t="s">
        <v>25</v>
      </c>
      <c r="I386" s="54">
        <v>44774</v>
      </c>
      <c r="J386" s="55">
        <f>EFEITO!$J$386*EFEITO!$Y$249</f>
        <v>0</v>
      </c>
      <c r="K386" s="55">
        <f ca="1">EFEITO!$L$386*EFEITO!$Z$249</f>
        <v>98224.320518321736</v>
      </c>
      <c r="L386" s="55">
        <f>EFEITO!$N$386*EFEITO!$AA$249</f>
        <v>41619.55815399751</v>
      </c>
      <c r="M386" s="55">
        <f>$J$386-EFEITO!$K$386*EFEITO!$Y$386</f>
        <v>0</v>
      </c>
      <c r="N386" s="55">
        <f ca="1">$K$386-EFEITO!$M$386*EFEITO!$Z$386</f>
        <v>5893.4592310993175</v>
      </c>
      <c r="O386" s="55">
        <f>$L$386-EFEITO!$O$386*EFEITO!$AA$386</f>
        <v>2497.1734892398454</v>
      </c>
      <c r="P386" s="39"/>
      <c r="Q386" s="39"/>
      <c r="R386" s="39"/>
      <c r="S386" s="39"/>
      <c r="T386" s="39"/>
      <c r="U386" s="39"/>
      <c r="V386" s="39"/>
      <c r="W386" s="39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35" t="s">
        <v>28</v>
      </c>
      <c r="B387" s="35" t="s">
        <v>40</v>
      </c>
      <c r="C387" s="35" t="s">
        <v>23</v>
      </c>
      <c r="D387" s="35" t="s">
        <v>41</v>
      </c>
      <c r="E387" s="35" t="s">
        <v>25</v>
      </c>
      <c r="F387" s="35" t="s">
        <v>25</v>
      </c>
      <c r="G387" s="35" t="s">
        <v>25</v>
      </c>
      <c r="H387" s="35" t="s">
        <v>25</v>
      </c>
      <c r="I387" s="54">
        <v>44774</v>
      </c>
      <c r="J387" s="55">
        <f>EFEITO!$J$387*EFEITO!$Y$249</f>
        <v>0</v>
      </c>
      <c r="K387" s="55">
        <f ca="1">EFEITO!$L$387*EFEITO!$Z$249</f>
        <v>4593.5164059557301</v>
      </c>
      <c r="L387" s="55">
        <f>EFEITO!$N$387*EFEITO!$AA$249</f>
        <v>1946.3623894792472</v>
      </c>
      <c r="M387" s="55">
        <f>$J$387-EFEITO!$K$387*EFEITO!$Y$387</f>
        <v>0</v>
      </c>
      <c r="N387" s="55">
        <f ca="1">$K$387-EFEITO!$M$387*EFEITO!$Z$387</f>
        <v>275.61098435734402</v>
      </c>
      <c r="O387" s="55">
        <f>$L$387-EFEITO!$O$387*EFEITO!$AA$387</f>
        <v>116.78174336875463</v>
      </c>
      <c r="P387" s="39"/>
      <c r="Q387" s="39"/>
      <c r="R387" s="39"/>
      <c r="S387" s="39"/>
      <c r="T387" s="39"/>
      <c r="U387" s="39"/>
      <c r="V387" s="39"/>
      <c r="W387" s="39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35" t="s">
        <v>21</v>
      </c>
      <c r="B388" s="35" t="s">
        <v>33</v>
      </c>
      <c r="C388" s="35" t="s">
        <v>23</v>
      </c>
      <c r="D388" s="35" t="s">
        <v>39</v>
      </c>
      <c r="E388" s="35" t="s">
        <v>25</v>
      </c>
      <c r="F388" s="35" t="s">
        <v>25</v>
      </c>
      <c r="G388" s="35" t="s">
        <v>25</v>
      </c>
      <c r="H388" s="35" t="s">
        <v>25</v>
      </c>
      <c r="I388" s="54">
        <v>44440</v>
      </c>
      <c r="J388" s="55">
        <f>EFEITO!$J$388*EFEITO!$Y$388</f>
        <v>0</v>
      </c>
      <c r="K388" s="55">
        <f ca="1">EFEITO!$L$388*EFEITO!$Z$388</f>
        <v>51975.395263844905</v>
      </c>
      <c r="L388" s="55">
        <f>EFEITO!$N$388*EFEITO!$AA$388</f>
        <v>22022.987528400365</v>
      </c>
      <c r="M388" s="55">
        <f>$J$388-EFEITO!$K$388*EFEITO!$Y$388</f>
        <v>0</v>
      </c>
      <c r="N388" s="55">
        <f ca="1">$K$388-EFEITO!$M$388*EFEITO!$Z$388</f>
        <v>0</v>
      </c>
      <c r="O388" s="55">
        <f>$L$388-EFEITO!$O$388*EFEITO!$AA$388</f>
        <v>0</v>
      </c>
      <c r="P388" s="39"/>
      <c r="Q388" s="39"/>
      <c r="R388" s="39"/>
      <c r="S388" s="39"/>
      <c r="T388" s="39"/>
      <c r="U388" s="39"/>
      <c r="V388" s="39"/>
      <c r="W388" s="39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35" t="s">
        <v>28</v>
      </c>
      <c r="B389" s="35" t="s">
        <v>33</v>
      </c>
      <c r="C389" s="35" t="s">
        <v>23</v>
      </c>
      <c r="D389" s="35" t="s">
        <v>39</v>
      </c>
      <c r="E389" s="35" t="s">
        <v>25</v>
      </c>
      <c r="F389" s="35" t="s">
        <v>25</v>
      </c>
      <c r="G389" s="35" t="s">
        <v>25</v>
      </c>
      <c r="H389" s="35" t="s">
        <v>25</v>
      </c>
      <c r="I389" s="54">
        <v>44440</v>
      </c>
      <c r="J389" s="55">
        <f>EFEITO!$J$389*EFEITO!$Y$389</f>
        <v>0</v>
      </c>
      <c r="K389" s="55">
        <f ca="1">EFEITO!$L$389*EFEITO!$Z$389</f>
        <v>4551.506538853534</v>
      </c>
      <c r="L389" s="55">
        <f>EFEITO!$N$389*EFEITO!$AA$389</f>
        <v>1928.5619903756931</v>
      </c>
      <c r="M389" s="55">
        <f>$J$389-EFEITO!$K$389*EFEITO!$Y$389</f>
        <v>0</v>
      </c>
      <c r="N389" s="55">
        <f ca="1">$K$389-EFEITO!$M$389*EFEITO!$Z$389</f>
        <v>0</v>
      </c>
      <c r="O389" s="55">
        <f>$L$389-EFEITO!$O$389*EFEITO!$AA$389</f>
        <v>0</v>
      </c>
      <c r="P389" s="39"/>
      <c r="Q389" s="39"/>
      <c r="R389" s="39"/>
      <c r="S389" s="39"/>
      <c r="T389" s="39"/>
      <c r="U389" s="39"/>
      <c r="V389" s="39"/>
      <c r="W389" s="39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35" t="s">
        <v>21</v>
      </c>
      <c r="B390" s="35" t="s">
        <v>33</v>
      </c>
      <c r="C390" s="35" t="s">
        <v>23</v>
      </c>
      <c r="D390" s="35" t="s">
        <v>39</v>
      </c>
      <c r="E390" s="35" t="s">
        <v>25</v>
      </c>
      <c r="F390" s="35" t="s">
        <v>25</v>
      </c>
      <c r="G390" s="35" t="s">
        <v>25</v>
      </c>
      <c r="H390" s="35" t="s">
        <v>25</v>
      </c>
      <c r="I390" s="54">
        <v>44470</v>
      </c>
      <c r="J390" s="55">
        <f>EFEITO!$J$390*EFEITO!$Y$390</f>
        <v>0</v>
      </c>
      <c r="K390" s="55">
        <f ca="1">EFEITO!$L$390*EFEITO!$Z$390</f>
        <v>53628.220972646923</v>
      </c>
      <c r="L390" s="55">
        <f>EFEITO!$N$390*EFEITO!$AA$390</f>
        <v>22723.321980630823</v>
      </c>
      <c r="M390" s="55">
        <f>$J$390-EFEITO!$K$390*EFEITO!$Y$390</f>
        <v>0</v>
      </c>
      <c r="N390" s="55">
        <f ca="1">$K$390-EFEITO!$M$390*EFEITO!$Z$390</f>
        <v>0</v>
      </c>
      <c r="O390" s="55">
        <f>$L$390-EFEITO!$O$390*EFEITO!$AA$390</f>
        <v>0</v>
      </c>
      <c r="P390" s="39"/>
      <c r="Q390" s="39"/>
      <c r="R390" s="39"/>
      <c r="S390" s="39"/>
      <c r="T390" s="39"/>
      <c r="U390" s="39"/>
      <c r="V390" s="39"/>
      <c r="W390" s="39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35" t="s">
        <v>28</v>
      </c>
      <c r="B391" s="35" t="s">
        <v>33</v>
      </c>
      <c r="C391" s="35" t="s">
        <v>23</v>
      </c>
      <c r="D391" s="35" t="s">
        <v>39</v>
      </c>
      <c r="E391" s="35" t="s">
        <v>25</v>
      </c>
      <c r="F391" s="35" t="s">
        <v>25</v>
      </c>
      <c r="G391" s="35" t="s">
        <v>25</v>
      </c>
      <c r="H391" s="35" t="s">
        <v>25</v>
      </c>
      <c r="I391" s="54">
        <v>44470</v>
      </c>
      <c r="J391" s="55">
        <f>EFEITO!$J$391*EFEITO!$Y$391</f>
        <v>0</v>
      </c>
      <c r="K391" s="55">
        <f ca="1">EFEITO!$L$391*EFEITO!$Z$391</f>
        <v>5824.4930326065323</v>
      </c>
      <c r="L391" s="55">
        <f>EFEITO!$N$391*EFEITO!$AA$391</f>
        <v>2467.9511673781826</v>
      </c>
      <c r="M391" s="55">
        <f>$J$391-EFEITO!$K$391*EFEITO!$Y$391</f>
        <v>0</v>
      </c>
      <c r="N391" s="55">
        <f ca="1">$K$391-EFEITO!$M$391*EFEITO!$Z$391</f>
        <v>0</v>
      </c>
      <c r="O391" s="55">
        <f>$L$391-EFEITO!$O$391*EFEITO!$AA$391</f>
        <v>0</v>
      </c>
      <c r="P391" s="39"/>
      <c r="Q391" s="39"/>
      <c r="R391" s="39"/>
      <c r="S391" s="39"/>
      <c r="T391" s="39"/>
      <c r="U391" s="39"/>
      <c r="V391" s="39"/>
      <c r="W391" s="39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35" t="s">
        <v>21</v>
      </c>
      <c r="B392" s="35" t="s">
        <v>33</v>
      </c>
      <c r="C392" s="35" t="s">
        <v>23</v>
      </c>
      <c r="D392" s="35" t="s">
        <v>39</v>
      </c>
      <c r="E392" s="35" t="s">
        <v>25</v>
      </c>
      <c r="F392" s="35" t="s">
        <v>25</v>
      </c>
      <c r="G392" s="35" t="s">
        <v>25</v>
      </c>
      <c r="H392" s="35" t="s">
        <v>25</v>
      </c>
      <c r="I392" s="54">
        <v>44501</v>
      </c>
      <c r="J392" s="55">
        <f>EFEITO!$J$392*EFEITO!$Y$392</f>
        <v>0</v>
      </c>
      <c r="K392" s="55">
        <f ca="1">EFEITO!$L$392*EFEITO!$Z$392</f>
        <v>64994.515640484795</v>
      </c>
      <c r="L392" s="55">
        <f>EFEITO!$N$392*EFEITO!$AA$392</f>
        <v>27539.44246308619</v>
      </c>
      <c r="M392" s="55">
        <f>$J$392-EFEITO!$K$392*EFEITO!$Y$392</f>
        <v>0</v>
      </c>
      <c r="N392" s="55">
        <f ca="1">$K$392-EFEITO!$M$392*EFEITO!$Z$392</f>
        <v>0</v>
      </c>
      <c r="O392" s="55">
        <f>$L$392-EFEITO!$O$392*EFEITO!$AA$392</f>
        <v>0</v>
      </c>
      <c r="P392" s="39"/>
      <c r="Q392" s="39"/>
      <c r="R392" s="39"/>
      <c r="S392" s="39"/>
      <c r="T392" s="39"/>
      <c r="U392" s="39"/>
      <c r="V392" s="39"/>
      <c r="W392" s="39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35" t="s">
        <v>28</v>
      </c>
      <c r="B393" s="35" t="s">
        <v>33</v>
      </c>
      <c r="C393" s="35" t="s">
        <v>23</v>
      </c>
      <c r="D393" s="35" t="s">
        <v>39</v>
      </c>
      <c r="E393" s="35" t="s">
        <v>25</v>
      </c>
      <c r="F393" s="35" t="s">
        <v>25</v>
      </c>
      <c r="G393" s="35" t="s">
        <v>25</v>
      </c>
      <c r="H393" s="35" t="s">
        <v>25</v>
      </c>
      <c r="I393" s="54">
        <v>44501</v>
      </c>
      <c r="J393" s="55">
        <f>EFEITO!$J$393*EFEITO!$Y$393</f>
        <v>0</v>
      </c>
      <c r="K393" s="55">
        <f ca="1">EFEITO!$L$393*EFEITO!$Z$393</f>
        <v>4730.048474037867</v>
      </c>
      <c r="L393" s="55">
        <f>EFEITO!$N$393*EFEITO!$AA$393</f>
        <v>2004.2136865657981</v>
      </c>
      <c r="M393" s="55">
        <f>$J$393-EFEITO!$K$393*EFEITO!$Y$393</f>
        <v>0</v>
      </c>
      <c r="N393" s="55">
        <f ca="1">$K$393-EFEITO!$M$393*EFEITO!$Z$393</f>
        <v>0</v>
      </c>
      <c r="O393" s="55">
        <f>$L$393-EFEITO!$O$393*EFEITO!$AA$393</f>
        <v>0</v>
      </c>
      <c r="P393" s="39"/>
      <c r="Q393" s="39"/>
      <c r="R393" s="39"/>
      <c r="S393" s="39"/>
      <c r="T393" s="39"/>
      <c r="U393" s="39"/>
      <c r="V393" s="39"/>
      <c r="W393" s="39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35" t="s">
        <v>21</v>
      </c>
      <c r="B394" s="35" t="s">
        <v>33</v>
      </c>
      <c r="C394" s="35" t="s">
        <v>23</v>
      </c>
      <c r="D394" s="35" t="s">
        <v>39</v>
      </c>
      <c r="E394" s="35" t="s">
        <v>25</v>
      </c>
      <c r="F394" s="35" t="s">
        <v>25</v>
      </c>
      <c r="G394" s="35" t="s">
        <v>25</v>
      </c>
      <c r="H394" s="35" t="s">
        <v>25</v>
      </c>
      <c r="I394" s="54">
        <v>44531</v>
      </c>
      <c r="J394" s="55">
        <f>EFEITO!$J$394*EFEITO!$Y$394</f>
        <v>0</v>
      </c>
      <c r="K394" s="55">
        <f ca="1">EFEITO!$L$394*EFEITO!$Z$394</f>
        <v>61016.268746463305</v>
      </c>
      <c r="L394" s="55">
        <f>EFEITO!$N$394*EFEITO!$AA$394</f>
        <v>25853.781752144412</v>
      </c>
      <c r="M394" s="55">
        <f>$J$394-EFEITO!$K$394*EFEITO!$Y$394</f>
        <v>0</v>
      </c>
      <c r="N394" s="55">
        <f ca="1">$K$394-EFEITO!$M$394*EFEITO!$Z$394</f>
        <v>0</v>
      </c>
      <c r="O394" s="55">
        <f>$L$394-EFEITO!$O$394*EFEITO!$AA$394</f>
        <v>0</v>
      </c>
      <c r="P394" s="39"/>
      <c r="Q394" s="39"/>
      <c r="R394" s="39"/>
      <c r="S394" s="39"/>
      <c r="T394" s="39"/>
      <c r="U394" s="39"/>
      <c r="V394" s="39"/>
      <c r="W394" s="39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35" t="s">
        <v>28</v>
      </c>
      <c r="B395" s="35" t="s">
        <v>33</v>
      </c>
      <c r="C395" s="35" t="s">
        <v>23</v>
      </c>
      <c r="D395" s="35" t="s">
        <v>39</v>
      </c>
      <c r="E395" s="35" t="s">
        <v>25</v>
      </c>
      <c r="F395" s="35" t="s">
        <v>25</v>
      </c>
      <c r="G395" s="35" t="s">
        <v>25</v>
      </c>
      <c r="H395" s="35" t="s">
        <v>25</v>
      </c>
      <c r="I395" s="54">
        <v>44531</v>
      </c>
      <c r="J395" s="55">
        <f>EFEITO!$J$395*EFEITO!$Y$395</f>
        <v>0</v>
      </c>
      <c r="K395" s="55">
        <f ca="1">EFEITO!$L$395*EFEITO!$Z$395</f>
        <v>3953.7411382118726</v>
      </c>
      <c r="L395" s="55">
        <f>EFEITO!$N$395*EFEITO!$AA$395</f>
        <v>1675.2771447980376</v>
      </c>
      <c r="M395" s="55">
        <f>$J$395-EFEITO!$K$395*EFEITO!$Y$395</f>
        <v>0</v>
      </c>
      <c r="N395" s="55">
        <f ca="1">$K$395-EFEITO!$M$395*EFEITO!$Z$395</f>
        <v>0</v>
      </c>
      <c r="O395" s="55">
        <f>$L$395-EFEITO!$O$395*EFEITO!$AA$395</f>
        <v>0</v>
      </c>
      <c r="P395" s="39"/>
      <c r="Q395" s="39"/>
      <c r="R395" s="39"/>
      <c r="S395" s="39"/>
      <c r="T395" s="39"/>
      <c r="U395" s="39"/>
      <c r="V395" s="39"/>
      <c r="W395" s="39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35" t="s">
        <v>21</v>
      </c>
      <c r="B396" s="35" t="s">
        <v>33</v>
      </c>
      <c r="C396" s="35" t="s">
        <v>23</v>
      </c>
      <c r="D396" s="35" t="s">
        <v>39</v>
      </c>
      <c r="E396" s="35" t="s">
        <v>25</v>
      </c>
      <c r="F396" s="35" t="s">
        <v>25</v>
      </c>
      <c r="G396" s="35" t="s">
        <v>25</v>
      </c>
      <c r="H396" s="35" t="s">
        <v>25</v>
      </c>
      <c r="I396" s="54">
        <v>44562</v>
      </c>
      <c r="J396" s="55">
        <f>EFEITO!$J$396*EFEITO!$Y$396</f>
        <v>0</v>
      </c>
      <c r="K396" s="55">
        <f ca="1">EFEITO!$L$396*EFEITO!$Z$396</f>
        <v>51462.524802972264</v>
      </c>
      <c r="L396" s="55">
        <f>EFEITO!$N$396*EFEITO!$AA$396</f>
        <v>21805.674322677809</v>
      </c>
      <c r="M396" s="55">
        <f>$J$396-EFEITO!$K$396*EFEITO!$Y$396</f>
        <v>0</v>
      </c>
      <c r="N396" s="55">
        <f ca="1">$K$396-EFEITO!$M$396*EFEITO!$Z$396</f>
        <v>0</v>
      </c>
      <c r="O396" s="55">
        <f>$L$396-EFEITO!$O$396*EFEITO!$AA$396</f>
        <v>0</v>
      </c>
      <c r="P396" s="39"/>
      <c r="Q396" s="39"/>
      <c r="R396" s="39"/>
      <c r="S396" s="39"/>
      <c r="T396" s="39"/>
      <c r="U396" s="39"/>
      <c r="V396" s="39"/>
      <c r="W396" s="39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35" t="s">
        <v>28</v>
      </c>
      <c r="B397" s="35" t="s">
        <v>33</v>
      </c>
      <c r="C397" s="35" t="s">
        <v>23</v>
      </c>
      <c r="D397" s="35" t="s">
        <v>39</v>
      </c>
      <c r="E397" s="35" t="s">
        <v>25</v>
      </c>
      <c r="F397" s="35" t="s">
        <v>25</v>
      </c>
      <c r="G397" s="35" t="s">
        <v>25</v>
      </c>
      <c r="H397" s="35" t="s">
        <v>25</v>
      </c>
      <c r="I397" s="54">
        <v>44562</v>
      </c>
      <c r="J397" s="55">
        <f>EFEITO!$J$397*EFEITO!$Y$397</f>
        <v>0</v>
      </c>
      <c r="K397" s="55">
        <f ca="1">EFEITO!$L$397*EFEITO!$Z$397</f>
        <v>4757.6174493236831</v>
      </c>
      <c r="L397" s="55">
        <f>EFEITO!$N$397*EFEITO!$AA$397</f>
        <v>2015.8951984775056</v>
      </c>
      <c r="M397" s="55">
        <f>$J$397-EFEITO!$K$397*EFEITO!$Y$397</f>
        <v>0</v>
      </c>
      <c r="N397" s="55">
        <f ca="1">$K$397-EFEITO!$M$397*EFEITO!$Z$397</f>
        <v>0</v>
      </c>
      <c r="O397" s="55">
        <f>$L$397-EFEITO!$O$397*EFEITO!$AA$397</f>
        <v>0</v>
      </c>
      <c r="P397" s="39"/>
      <c r="Q397" s="39"/>
      <c r="R397" s="39"/>
      <c r="S397" s="39"/>
      <c r="T397" s="39"/>
      <c r="U397" s="39"/>
      <c r="V397" s="39"/>
      <c r="W397" s="39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35" t="s">
        <v>21</v>
      </c>
      <c r="B398" s="35" t="s">
        <v>33</v>
      </c>
      <c r="C398" s="35" t="s">
        <v>23</v>
      </c>
      <c r="D398" s="35" t="s">
        <v>39</v>
      </c>
      <c r="E398" s="35" t="s">
        <v>25</v>
      </c>
      <c r="F398" s="35" t="s">
        <v>25</v>
      </c>
      <c r="G398" s="35" t="s">
        <v>25</v>
      </c>
      <c r="H398" s="35" t="s">
        <v>25</v>
      </c>
      <c r="I398" s="54">
        <v>44593</v>
      </c>
      <c r="J398" s="55">
        <f>EFEITO!$J$398*EFEITO!$Y$398</f>
        <v>0</v>
      </c>
      <c r="K398" s="55">
        <f ca="1">EFEITO!$L$398*EFEITO!$Z$398</f>
        <v>55712.085422028766</v>
      </c>
      <c r="L398" s="55">
        <f>EFEITO!$N$398*EFEITO!$AA$398</f>
        <v>23606.295944496705</v>
      </c>
      <c r="M398" s="55">
        <f>$J$398-EFEITO!$K$398*EFEITO!$Y$398</f>
        <v>0</v>
      </c>
      <c r="N398" s="55">
        <f ca="1">$K$398-EFEITO!$M$398*EFEITO!$Z$398</f>
        <v>0</v>
      </c>
      <c r="O398" s="55">
        <f>$L$398-EFEITO!$O$398*EFEITO!$AA$398</f>
        <v>0</v>
      </c>
      <c r="P398" s="39"/>
      <c r="Q398" s="39"/>
      <c r="R398" s="39"/>
      <c r="S398" s="39"/>
      <c r="T398" s="39"/>
      <c r="U398" s="39"/>
      <c r="V398" s="39"/>
      <c r="W398" s="39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35" t="s">
        <v>28</v>
      </c>
      <c r="B399" s="35" t="s">
        <v>33</v>
      </c>
      <c r="C399" s="35" t="s">
        <v>23</v>
      </c>
      <c r="D399" s="35" t="s">
        <v>39</v>
      </c>
      <c r="E399" s="35" t="s">
        <v>25</v>
      </c>
      <c r="F399" s="35" t="s">
        <v>25</v>
      </c>
      <c r="G399" s="35" t="s">
        <v>25</v>
      </c>
      <c r="H399" s="35" t="s">
        <v>25</v>
      </c>
      <c r="I399" s="54">
        <v>44593</v>
      </c>
      <c r="J399" s="55">
        <f>EFEITO!$J$399*EFEITO!$Y$399</f>
        <v>0</v>
      </c>
      <c r="K399" s="55">
        <f ca="1">EFEITO!$L$399*EFEITO!$Z$399</f>
        <v>3997.9390192256405</v>
      </c>
      <c r="L399" s="55">
        <f>EFEITO!$N$399*EFEITO!$AA$399</f>
        <v>1694.0046480215683</v>
      </c>
      <c r="M399" s="55">
        <f>$J$399-EFEITO!$K$399*EFEITO!$Y$399</f>
        <v>0</v>
      </c>
      <c r="N399" s="55">
        <f ca="1">$K$399-EFEITO!$M$399*EFEITO!$Z$399</f>
        <v>0</v>
      </c>
      <c r="O399" s="55">
        <f>$L$399-EFEITO!$O$399*EFEITO!$AA$399</f>
        <v>0</v>
      </c>
      <c r="P399" s="39"/>
      <c r="Q399" s="39"/>
      <c r="R399" s="39"/>
      <c r="S399" s="39"/>
      <c r="T399" s="39"/>
      <c r="U399" s="39"/>
      <c r="V399" s="39"/>
      <c r="W399" s="39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35" t="s">
        <v>21</v>
      </c>
      <c r="B400" s="35" t="s">
        <v>33</v>
      </c>
      <c r="C400" s="35" t="s">
        <v>23</v>
      </c>
      <c r="D400" s="35" t="s">
        <v>39</v>
      </c>
      <c r="E400" s="35" t="s">
        <v>25</v>
      </c>
      <c r="F400" s="35" t="s">
        <v>25</v>
      </c>
      <c r="G400" s="35" t="s">
        <v>25</v>
      </c>
      <c r="H400" s="35" t="s">
        <v>25</v>
      </c>
      <c r="I400" s="54">
        <v>44621</v>
      </c>
      <c r="J400" s="55">
        <f>EFEITO!$J$400*EFEITO!$Y$400</f>
        <v>0</v>
      </c>
      <c r="K400" s="55">
        <f ca="1">EFEITO!$L$400*EFEITO!$Z$400</f>
        <v>53605.903230748881</v>
      </c>
      <c r="L400" s="55">
        <f>EFEITO!$N$400*EFEITO!$AA$400</f>
        <v>22713.865518607061</v>
      </c>
      <c r="M400" s="55">
        <f>$J$400-EFEITO!$K$400*EFEITO!$Y$400</f>
        <v>0</v>
      </c>
      <c r="N400" s="55">
        <f ca="1">$K$400-EFEITO!$M$400*EFEITO!$Z$400</f>
        <v>0</v>
      </c>
      <c r="O400" s="55">
        <f>$L$400-EFEITO!$O$400*EFEITO!$AA$400</f>
        <v>0</v>
      </c>
      <c r="P400" s="39"/>
      <c r="Q400" s="39"/>
      <c r="R400" s="39"/>
      <c r="S400" s="39"/>
      <c r="T400" s="39"/>
      <c r="U400" s="39"/>
      <c r="V400" s="39"/>
      <c r="W400" s="39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35" t="s">
        <v>28</v>
      </c>
      <c r="B401" s="35" t="s">
        <v>33</v>
      </c>
      <c r="C401" s="35" t="s">
        <v>23</v>
      </c>
      <c r="D401" s="35" t="s">
        <v>39</v>
      </c>
      <c r="E401" s="35" t="s">
        <v>25</v>
      </c>
      <c r="F401" s="35" t="s">
        <v>25</v>
      </c>
      <c r="G401" s="35" t="s">
        <v>25</v>
      </c>
      <c r="H401" s="35" t="s">
        <v>25</v>
      </c>
      <c r="I401" s="54">
        <v>44621</v>
      </c>
      <c r="J401" s="55">
        <f>EFEITO!$J$401*EFEITO!$Y$401</f>
        <v>0</v>
      </c>
      <c r="K401" s="55">
        <f ca="1">EFEITO!$L$401*EFEITO!$Z$401</f>
        <v>4081.0835478654039</v>
      </c>
      <c r="L401" s="55">
        <f>EFEITO!$N$401*EFEITO!$AA$401</f>
        <v>1729.234604580686</v>
      </c>
      <c r="M401" s="55">
        <f>$J$401-EFEITO!$K$401*EFEITO!$Y$401</f>
        <v>0</v>
      </c>
      <c r="N401" s="55">
        <f ca="1">$K$401-EFEITO!$M$401*EFEITO!$Z$401</f>
        <v>0</v>
      </c>
      <c r="O401" s="55">
        <f>$L$401-EFEITO!$O$401*EFEITO!$AA$401</f>
        <v>0</v>
      </c>
      <c r="P401" s="39"/>
      <c r="Q401" s="39"/>
      <c r="R401" s="39"/>
      <c r="S401" s="39"/>
      <c r="T401" s="39"/>
      <c r="U401" s="39"/>
      <c r="V401" s="39"/>
      <c r="W401" s="39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35" t="s">
        <v>21</v>
      </c>
      <c r="B402" s="35" t="s">
        <v>33</v>
      </c>
      <c r="C402" s="35" t="s">
        <v>23</v>
      </c>
      <c r="D402" s="35" t="s">
        <v>39</v>
      </c>
      <c r="E402" s="35" t="s">
        <v>25</v>
      </c>
      <c r="F402" s="35" t="s">
        <v>25</v>
      </c>
      <c r="G402" s="35" t="s">
        <v>25</v>
      </c>
      <c r="H402" s="35" t="s">
        <v>25</v>
      </c>
      <c r="I402" s="54">
        <v>44652</v>
      </c>
      <c r="J402" s="55">
        <f>EFEITO!$J$402*EFEITO!$Y$402</f>
        <v>0</v>
      </c>
      <c r="K402" s="55">
        <f ca="1">EFEITO!$L$402*EFEITO!$Z$402</f>
        <v>54388.337005527283</v>
      </c>
      <c r="L402" s="55">
        <f>EFEITO!$N$402*EFEITO!$AA$402</f>
        <v>23045.397951910756</v>
      </c>
      <c r="M402" s="55">
        <f>$J$402-EFEITO!$K$402*EFEITO!$Y$402</f>
        <v>0</v>
      </c>
      <c r="N402" s="55">
        <f ca="1">$K$402-EFEITO!$M$402*EFEITO!$Z$402</f>
        <v>0</v>
      </c>
      <c r="O402" s="55">
        <f>$L$402-EFEITO!$O$402*EFEITO!$AA$402</f>
        <v>0</v>
      </c>
      <c r="P402" s="39"/>
      <c r="Q402" s="39"/>
      <c r="R402" s="39"/>
      <c r="S402" s="39"/>
      <c r="T402" s="39"/>
      <c r="U402" s="39"/>
      <c r="V402" s="39"/>
      <c r="W402" s="39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35" t="s">
        <v>28</v>
      </c>
      <c r="B403" s="35" t="s">
        <v>33</v>
      </c>
      <c r="C403" s="35" t="s">
        <v>23</v>
      </c>
      <c r="D403" s="35" t="s">
        <v>39</v>
      </c>
      <c r="E403" s="35" t="s">
        <v>25</v>
      </c>
      <c r="F403" s="35" t="s">
        <v>25</v>
      </c>
      <c r="G403" s="35" t="s">
        <v>25</v>
      </c>
      <c r="H403" s="35" t="s">
        <v>25</v>
      </c>
      <c r="I403" s="54">
        <v>44652</v>
      </c>
      <c r="J403" s="55">
        <f>EFEITO!$J$403*EFEITO!$Y$403</f>
        <v>0</v>
      </c>
      <c r="K403" s="55">
        <f ca="1">EFEITO!$L$403*EFEITO!$Z$403</f>
        <v>3804.5185894426145</v>
      </c>
      <c r="L403" s="55">
        <f>EFEITO!$N$403*EFEITO!$AA$403</f>
        <v>1612.0486438156215</v>
      </c>
      <c r="M403" s="55">
        <f>$J$403-EFEITO!$K$403*EFEITO!$Y$403</f>
        <v>0</v>
      </c>
      <c r="N403" s="55">
        <f ca="1">$K$403-EFEITO!$M$403*EFEITO!$Z$403</f>
        <v>0</v>
      </c>
      <c r="O403" s="55">
        <f>$L$403-EFEITO!$O$403*EFEITO!$AA$403</f>
        <v>0</v>
      </c>
      <c r="P403" s="39"/>
      <c r="Q403" s="39"/>
      <c r="R403" s="39"/>
      <c r="S403" s="39"/>
      <c r="T403" s="39"/>
      <c r="U403" s="39"/>
      <c r="V403" s="39"/>
      <c r="W403" s="39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35" t="s">
        <v>21</v>
      </c>
      <c r="B404" s="35" t="s">
        <v>33</v>
      </c>
      <c r="C404" s="35" t="s">
        <v>23</v>
      </c>
      <c r="D404" s="35" t="s">
        <v>39</v>
      </c>
      <c r="E404" s="35" t="s">
        <v>25</v>
      </c>
      <c r="F404" s="35" t="s">
        <v>25</v>
      </c>
      <c r="G404" s="35" t="s">
        <v>25</v>
      </c>
      <c r="H404" s="35" t="s">
        <v>25</v>
      </c>
      <c r="I404" s="54">
        <v>44682</v>
      </c>
      <c r="J404" s="55">
        <f>EFEITO!$J$404*EFEITO!$Y$404</f>
        <v>0</v>
      </c>
      <c r="K404" s="55">
        <f ca="1">EFEITO!$L$404*EFEITO!$Z$404</f>
        <v>50829.313576963119</v>
      </c>
      <c r="L404" s="55">
        <f>EFEITO!$N$404*EFEITO!$AA$404</f>
        <v>21537.370390356529</v>
      </c>
      <c r="M404" s="55">
        <f>$J$404-EFEITO!$K$404*EFEITO!$Y$404</f>
        <v>0</v>
      </c>
      <c r="N404" s="55">
        <f ca="1">$K$404-EFEITO!$M$404*EFEITO!$Z$404</f>
        <v>0</v>
      </c>
      <c r="O404" s="55">
        <f>$L$404-EFEITO!$O$404*EFEITO!$AA$404</f>
        <v>0</v>
      </c>
      <c r="P404" s="39"/>
      <c r="Q404" s="39"/>
      <c r="R404" s="39"/>
      <c r="S404" s="39"/>
      <c r="T404" s="39"/>
      <c r="U404" s="39"/>
      <c r="V404" s="39"/>
      <c r="W404" s="39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35" t="s">
        <v>28</v>
      </c>
      <c r="B405" s="35" t="s">
        <v>33</v>
      </c>
      <c r="C405" s="35" t="s">
        <v>23</v>
      </c>
      <c r="D405" s="35" t="s">
        <v>39</v>
      </c>
      <c r="E405" s="35" t="s">
        <v>25</v>
      </c>
      <c r="F405" s="35" t="s">
        <v>25</v>
      </c>
      <c r="G405" s="35" t="s">
        <v>25</v>
      </c>
      <c r="H405" s="35" t="s">
        <v>25</v>
      </c>
      <c r="I405" s="54">
        <v>44682</v>
      </c>
      <c r="J405" s="55">
        <f>EFEITO!$J$405*EFEITO!$Y$405</f>
        <v>0</v>
      </c>
      <c r="K405" s="55">
        <f ca="1">EFEITO!$L$405*EFEITO!$Z$405</f>
        <v>3408.488071447955</v>
      </c>
      <c r="L405" s="55">
        <f>EFEITO!$N$405*EFEITO!$AA$405</f>
        <v>1444.2427980998243</v>
      </c>
      <c r="M405" s="55">
        <f>$J$405-EFEITO!$K$405*EFEITO!$Y$405</f>
        <v>0</v>
      </c>
      <c r="N405" s="55">
        <f ca="1">$K$405-EFEITO!$M$405*EFEITO!$Z$405</f>
        <v>0</v>
      </c>
      <c r="O405" s="55">
        <f>$L$405-EFEITO!$O$405*EFEITO!$AA$405</f>
        <v>0</v>
      </c>
      <c r="P405" s="39"/>
      <c r="Q405" s="39"/>
      <c r="R405" s="39"/>
      <c r="S405" s="39"/>
      <c r="T405" s="39"/>
      <c r="U405" s="39"/>
      <c r="V405" s="39"/>
      <c r="W405" s="39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35" t="s">
        <v>21</v>
      </c>
      <c r="B406" s="35" t="s">
        <v>33</v>
      </c>
      <c r="C406" s="35" t="s">
        <v>23</v>
      </c>
      <c r="D406" s="35" t="s">
        <v>39</v>
      </c>
      <c r="E406" s="35" t="s">
        <v>25</v>
      </c>
      <c r="F406" s="35" t="s">
        <v>25</v>
      </c>
      <c r="G406" s="35" t="s">
        <v>25</v>
      </c>
      <c r="H406" s="35" t="s">
        <v>25</v>
      </c>
      <c r="I406" s="54">
        <v>44713</v>
      </c>
      <c r="J406" s="55">
        <f>EFEITO!$J$406*EFEITO!$Y$406</f>
        <v>0</v>
      </c>
      <c r="K406" s="55">
        <f ca="1">EFEITO!$L$406*EFEITO!$Z$406</f>
        <v>46167.531136966325</v>
      </c>
      <c r="L406" s="55">
        <f>EFEITO!$N$406*EFEITO!$AA$406</f>
        <v>19562.082352334008</v>
      </c>
      <c r="M406" s="55">
        <f>$J$406-EFEITO!$K$406*EFEITO!$Y$406</f>
        <v>0</v>
      </c>
      <c r="N406" s="55">
        <f ca="1">$K$406-EFEITO!$M$406*EFEITO!$Z$406</f>
        <v>0</v>
      </c>
      <c r="O406" s="55">
        <f>$L$406-EFEITO!$O$406*EFEITO!$AA$406</f>
        <v>0</v>
      </c>
      <c r="P406" s="39"/>
      <c r="Q406" s="39"/>
      <c r="R406" s="39"/>
      <c r="S406" s="39"/>
      <c r="T406" s="39"/>
      <c r="U406" s="39"/>
      <c r="V406" s="39"/>
      <c r="W406" s="39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35" t="s">
        <v>28</v>
      </c>
      <c r="B407" s="35" t="s">
        <v>33</v>
      </c>
      <c r="C407" s="35" t="s">
        <v>23</v>
      </c>
      <c r="D407" s="35" t="s">
        <v>39</v>
      </c>
      <c r="E407" s="35" t="s">
        <v>25</v>
      </c>
      <c r="F407" s="35" t="s">
        <v>25</v>
      </c>
      <c r="G407" s="35" t="s">
        <v>25</v>
      </c>
      <c r="H407" s="35" t="s">
        <v>25</v>
      </c>
      <c r="I407" s="54">
        <v>44713</v>
      </c>
      <c r="J407" s="55">
        <f>EFEITO!$J$407*EFEITO!$Y$407</f>
        <v>0</v>
      </c>
      <c r="K407" s="55">
        <f ca="1">EFEITO!$L$407*EFEITO!$Z$407</f>
        <v>2689.0690973228502</v>
      </c>
      <c r="L407" s="55">
        <f>EFEITO!$N$407*EFEITO!$AA$407</f>
        <v>1139.4109634514598</v>
      </c>
      <c r="M407" s="55">
        <f>$J$407-EFEITO!$K$407*EFEITO!$Y$407</f>
        <v>0</v>
      </c>
      <c r="N407" s="55">
        <f ca="1">$K$407-EFEITO!$M$407*EFEITO!$Z$407</f>
        <v>0</v>
      </c>
      <c r="O407" s="55">
        <f>$L$407-EFEITO!$O$407*EFEITO!$AA$407</f>
        <v>0</v>
      </c>
      <c r="P407" s="39"/>
      <c r="Q407" s="39"/>
      <c r="R407" s="39"/>
      <c r="S407" s="39"/>
      <c r="T407" s="39"/>
      <c r="U407" s="39"/>
      <c r="V407" s="39"/>
      <c r="W407" s="39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35" t="s">
        <v>21</v>
      </c>
      <c r="B408" s="35" t="s">
        <v>33</v>
      </c>
      <c r="C408" s="35" t="s">
        <v>23</v>
      </c>
      <c r="D408" s="35" t="s">
        <v>39</v>
      </c>
      <c r="E408" s="35" t="s">
        <v>25</v>
      </c>
      <c r="F408" s="35" t="s">
        <v>25</v>
      </c>
      <c r="G408" s="35" t="s">
        <v>25</v>
      </c>
      <c r="H408" s="35" t="s">
        <v>25</v>
      </c>
      <c r="I408" s="54">
        <v>44743</v>
      </c>
      <c r="J408" s="55">
        <f>EFEITO!$J$408*EFEITO!$Y$408</f>
        <v>0</v>
      </c>
      <c r="K408" s="55">
        <f ca="1">EFEITO!$L$408*EFEITO!$Z$408</f>
        <v>46881.261274921344</v>
      </c>
      <c r="L408" s="55">
        <f>EFEITO!$N$408*EFEITO!$AA$408</f>
        <v>19864.503716270432</v>
      </c>
      <c r="M408" s="55">
        <f>$J$408-EFEITO!$K$408*EFEITO!$Y$408</f>
        <v>0</v>
      </c>
      <c r="N408" s="55">
        <f ca="1">$K$408-EFEITO!$M$408*EFEITO!$Z$408</f>
        <v>0</v>
      </c>
      <c r="O408" s="55">
        <f>$L$408-EFEITO!$O$408*EFEITO!$AA$408</f>
        <v>0</v>
      </c>
      <c r="P408" s="39"/>
      <c r="Q408" s="39"/>
      <c r="R408" s="39"/>
      <c r="S408" s="39"/>
      <c r="T408" s="39"/>
      <c r="U408" s="39"/>
      <c r="V408" s="39"/>
      <c r="W408" s="39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35" t="s">
        <v>28</v>
      </c>
      <c r="B409" s="35" t="s">
        <v>33</v>
      </c>
      <c r="C409" s="35" t="s">
        <v>23</v>
      </c>
      <c r="D409" s="35" t="s">
        <v>39</v>
      </c>
      <c r="E409" s="35" t="s">
        <v>25</v>
      </c>
      <c r="F409" s="35" t="s">
        <v>25</v>
      </c>
      <c r="G409" s="35" t="s">
        <v>25</v>
      </c>
      <c r="H409" s="35" t="s">
        <v>25</v>
      </c>
      <c r="I409" s="54">
        <v>44743</v>
      </c>
      <c r="J409" s="55">
        <f>EFEITO!$J$409*EFEITO!$Y$409</f>
        <v>0</v>
      </c>
      <c r="K409" s="55">
        <f ca="1">EFEITO!$L$409*EFEITO!$Z$409</f>
        <v>3018.5839924056995</v>
      </c>
      <c r="L409" s="55">
        <f>EFEITO!$N$409*EFEITO!$AA$409</f>
        <v>1279.0328439199627</v>
      </c>
      <c r="M409" s="55">
        <f>$J$409-EFEITO!$K$409*EFEITO!$Y$409</f>
        <v>0</v>
      </c>
      <c r="N409" s="55">
        <f ca="1">$K$409-EFEITO!$M$409*EFEITO!$Z$409</f>
        <v>0</v>
      </c>
      <c r="O409" s="55">
        <f>$L$409-EFEITO!$O$409*EFEITO!$AA$409</f>
        <v>0</v>
      </c>
      <c r="P409" s="39"/>
      <c r="Q409" s="39"/>
      <c r="R409" s="39"/>
      <c r="S409" s="39"/>
      <c r="T409" s="39"/>
      <c r="U409" s="39"/>
      <c r="V409" s="39"/>
      <c r="W409" s="39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35" t="s">
        <v>21</v>
      </c>
      <c r="B410" s="35" t="s">
        <v>33</v>
      </c>
      <c r="C410" s="35" t="s">
        <v>23</v>
      </c>
      <c r="D410" s="35" t="s">
        <v>39</v>
      </c>
      <c r="E410" s="35" t="s">
        <v>25</v>
      </c>
      <c r="F410" s="35" t="s">
        <v>25</v>
      </c>
      <c r="G410" s="35" t="s">
        <v>25</v>
      </c>
      <c r="H410" s="35" t="s">
        <v>25</v>
      </c>
      <c r="I410" s="54">
        <v>44774</v>
      </c>
      <c r="J410" s="55">
        <f>EFEITO!$J$410*EFEITO!$Y$410</f>
        <v>0</v>
      </c>
      <c r="K410" s="55">
        <f ca="1">EFEITO!$L$410*EFEITO!$Z$410</f>
        <v>67180.34153814592</v>
      </c>
      <c r="L410" s="55">
        <f>EFEITO!$N$410*EFEITO!$AA$410</f>
        <v>28465.61947894299</v>
      </c>
      <c r="M410" s="55">
        <f>$J$410-EFEITO!$K$410*EFEITO!$Y$410</f>
        <v>0</v>
      </c>
      <c r="N410" s="55">
        <f ca="1">$K$410-EFEITO!$M$410*EFEITO!$Z$410</f>
        <v>0</v>
      </c>
      <c r="O410" s="55">
        <f>$L$410-EFEITO!$O$410*EFEITO!$AA$410</f>
        <v>0</v>
      </c>
      <c r="P410" s="39"/>
      <c r="Q410" s="39"/>
      <c r="R410" s="39"/>
      <c r="S410" s="39"/>
      <c r="T410" s="39"/>
      <c r="U410" s="39"/>
      <c r="V410" s="39"/>
      <c r="W410" s="39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35" t="s">
        <v>28</v>
      </c>
      <c r="B411" s="35" t="s">
        <v>33</v>
      </c>
      <c r="C411" s="35" t="s">
        <v>23</v>
      </c>
      <c r="D411" s="35" t="s">
        <v>39</v>
      </c>
      <c r="E411" s="35" t="s">
        <v>25</v>
      </c>
      <c r="F411" s="35" t="s">
        <v>25</v>
      </c>
      <c r="G411" s="35" t="s">
        <v>25</v>
      </c>
      <c r="H411" s="35" t="s">
        <v>25</v>
      </c>
      <c r="I411" s="54">
        <v>44774</v>
      </c>
      <c r="J411" s="55">
        <f>EFEITO!$J$411*EFEITO!$Y$411</f>
        <v>0</v>
      </c>
      <c r="K411" s="55">
        <f ca="1">EFEITO!$L$411*EFEITO!$Z$411</f>
        <v>1802.4858603535918</v>
      </c>
      <c r="L411" s="55">
        <f>EFEITO!$N$411*EFEITO!$AA$411</f>
        <v>763.74837403686956</v>
      </c>
      <c r="M411" s="55">
        <f>$J$411-EFEITO!$K$411*EFEITO!$Y$411</f>
        <v>0</v>
      </c>
      <c r="N411" s="55">
        <f ca="1">$K$411-EFEITO!$M$411*EFEITO!$Z$411</f>
        <v>0</v>
      </c>
      <c r="O411" s="55">
        <f>$L$411-EFEITO!$O$411*EFEITO!$AA$411</f>
        <v>0</v>
      </c>
      <c r="P411" s="39"/>
      <c r="Q411" s="39"/>
      <c r="R411" s="39"/>
      <c r="S411" s="39"/>
      <c r="T411" s="39"/>
      <c r="U411" s="39"/>
      <c r="V411" s="39"/>
      <c r="W411" s="39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35" t="s">
        <v>21</v>
      </c>
      <c r="B412" s="35" t="s">
        <v>33</v>
      </c>
      <c r="C412" s="35" t="s">
        <v>23</v>
      </c>
      <c r="D412" s="35" t="s">
        <v>49</v>
      </c>
      <c r="E412" s="35" t="s">
        <v>25</v>
      </c>
      <c r="F412" s="35" t="s">
        <v>25</v>
      </c>
      <c r="G412" s="35" t="s">
        <v>25</v>
      </c>
      <c r="H412" s="35" t="s">
        <v>25</v>
      </c>
      <c r="I412" s="54">
        <v>44440</v>
      </c>
      <c r="J412" s="55">
        <f>EFEITO!$J$412*EFEITO!$Y$412</f>
        <v>0</v>
      </c>
      <c r="K412" s="55">
        <f ca="1">EFEITO!$L$412*EFEITO!$Z$412</f>
        <v>43.760278231454038</v>
      </c>
      <c r="L412" s="55">
        <f>EFEITO!$N$412*EFEITO!$AA$412</f>
        <v>18.542082399535555</v>
      </c>
      <c r="M412" s="55">
        <f>$J$412-EFEITO!$K$412*EFEITO!$Y$412</f>
        <v>0</v>
      </c>
      <c r="N412" s="55">
        <f ca="1">$K$412-EFEITO!$M$412*EFEITO!$Z$412</f>
        <v>0</v>
      </c>
      <c r="O412" s="55">
        <f>$L$412-EFEITO!$O$412*EFEITO!$AA$412</f>
        <v>0</v>
      </c>
      <c r="P412" s="39"/>
      <c r="Q412" s="39"/>
      <c r="R412" s="39"/>
      <c r="S412" s="39"/>
      <c r="T412" s="39"/>
      <c r="U412" s="39"/>
      <c r="V412" s="39"/>
      <c r="W412" s="39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35" t="s">
        <v>28</v>
      </c>
      <c r="B413" s="35" t="s">
        <v>33</v>
      </c>
      <c r="C413" s="35" t="s">
        <v>23</v>
      </c>
      <c r="D413" s="35" t="s">
        <v>49</v>
      </c>
      <c r="E413" s="35" t="s">
        <v>25</v>
      </c>
      <c r="F413" s="35" t="s">
        <v>25</v>
      </c>
      <c r="G413" s="35" t="s">
        <v>25</v>
      </c>
      <c r="H413" s="35" t="s">
        <v>25</v>
      </c>
      <c r="I413" s="54">
        <v>44440</v>
      </c>
      <c r="J413" s="55">
        <f>EFEITO!$J$413*EFEITO!$Y$413</f>
        <v>0</v>
      </c>
      <c r="K413" s="55">
        <f ca="1">EFEITO!$L$413*EFEITO!$Z$413</f>
        <v>43.760278231454038</v>
      </c>
      <c r="L413" s="55">
        <f>EFEITO!$N$413*EFEITO!$AA$413</f>
        <v>18.542082399535555</v>
      </c>
      <c r="M413" s="55">
        <f>$J$413-EFEITO!$K$413*EFEITO!$Y$413</f>
        <v>0</v>
      </c>
      <c r="N413" s="55">
        <f ca="1">$K$413-EFEITO!$M$413*EFEITO!$Z$413</f>
        <v>0</v>
      </c>
      <c r="O413" s="55">
        <f>$L$413-EFEITO!$O$413*EFEITO!$AA$413</f>
        <v>0</v>
      </c>
      <c r="P413" s="39"/>
      <c r="Q413" s="39"/>
      <c r="R413" s="39"/>
      <c r="S413" s="39"/>
      <c r="T413" s="39"/>
      <c r="U413" s="39"/>
      <c r="V413" s="39"/>
      <c r="W413" s="39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35" t="s">
        <v>21</v>
      </c>
      <c r="B414" s="35" t="s">
        <v>33</v>
      </c>
      <c r="C414" s="35" t="s">
        <v>23</v>
      </c>
      <c r="D414" s="35" t="s">
        <v>49</v>
      </c>
      <c r="E414" s="35" t="s">
        <v>25</v>
      </c>
      <c r="F414" s="35" t="s">
        <v>25</v>
      </c>
      <c r="G414" s="35" t="s">
        <v>25</v>
      </c>
      <c r="H414" s="35" t="s">
        <v>25</v>
      </c>
      <c r="I414" s="54">
        <v>44470</v>
      </c>
      <c r="J414" s="55">
        <f>EFEITO!$J$414*EFEITO!$Y$414</f>
        <v>0</v>
      </c>
      <c r="K414" s="55">
        <f ca="1">EFEITO!$L$414*EFEITO!$Z$414</f>
        <v>43.760278231454038</v>
      </c>
      <c r="L414" s="55">
        <f>EFEITO!$N$414*EFEITO!$AA$414</f>
        <v>18.542082399535555</v>
      </c>
      <c r="M414" s="55">
        <f>$J$414-EFEITO!$K$414*EFEITO!$Y$414</f>
        <v>0</v>
      </c>
      <c r="N414" s="55">
        <f ca="1">$K$414-EFEITO!$M$414*EFEITO!$Z$414</f>
        <v>0</v>
      </c>
      <c r="O414" s="55">
        <f>$L$414-EFEITO!$O$414*EFEITO!$AA$414</f>
        <v>0</v>
      </c>
      <c r="P414" s="39"/>
      <c r="Q414" s="39"/>
      <c r="R414" s="39"/>
      <c r="S414" s="39"/>
      <c r="T414" s="39"/>
      <c r="U414" s="39"/>
      <c r="V414" s="39"/>
      <c r="W414" s="39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35" t="s">
        <v>28</v>
      </c>
      <c r="B415" s="35" t="s">
        <v>33</v>
      </c>
      <c r="C415" s="35" t="s">
        <v>23</v>
      </c>
      <c r="D415" s="35" t="s">
        <v>49</v>
      </c>
      <c r="E415" s="35" t="s">
        <v>25</v>
      </c>
      <c r="F415" s="35" t="s">
        <v>25</v>
      </c>
      <c r="G415" s="35" t="s">
        <v>25</v>
      </c>
      <c r="H415" s="35" t="s">
        <v>25</v>
      </c>
      <c r="I415" s="54">
        <v>44470</v>
      </c>
      <c r="J415" s="55">
        <f>EFEITO!$J$415*EFEITO!$Y$415</f>
        <v>0</v>
      </c>
      <c r="K415" s="55">
        <f ca="1">EFEITO!$L$415*EFEITO!$Z$415</f>
        <v>43.760278231454038</v>
      </c>
      <c r="L415" s="55">
        <f>EFEITO!$N$415*EFEITO!$AA$415</f>
        <v>18.542082399535555</v>
      </c>
      <c r="M415" s="55">
        <f>$J$415-EFEITO!$K$415*EFEITO!$Y$415</f>
        <v>0</v>
      </c>
      <c r="N415" s="55">
        <f ca="1">$K$415-EFEITO!$M$415*EFEITO!$Z$415</f>
        <v>0</v>
      </c>
      <c r="O415" s="55">
        <f>$L$415-EFEITO!$O$415*EFEITO!$AA$415</f>
        <v>0</v>
      </c>
      <c r="P415" s="39"/>
      <c r="Q415" s="39"/>
      <c r="R415" s="39"/>
      <c r="S415" s="39"/>
      <c r="T415" s="39"/>
      <c r="U415" s="39"/>
      <c r="V415" s="39"/>
      <c r="W415" s="39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35" t="s">
        <v>21</v>
      </c>
      <c r="B416" s="35" t="s">
        <v>33</v>
      </c>
      <c r="C416" s="35" t="s">
        <v>23</v>
      </c>
      <c r="D416" s="35" t="s">
        <v>49</v>
      </c>
      <c r="E416" s="35" t="s">
        <v>25</v>
      </c>
      <c r="F416" s="35" t="s">
        <v>25</v>
      </c>
      <c r="G416" s="35" t="s">
        <v>25</v>
      </c>
      <c r="H416" s="35" t="s">
        <v>25</v>
      </c>
      <c r="I416" s="54">
        <v>44501</v>
      </c>
      <c r="J416" s="55">
        <f>EFEITO!$J$416*EFEITO!$Y$416</f>
        <v>0</v>
      </c>
      <c r="K416" s="55">
        <f ca="1">EFEITO!$L$416*EFEITO!$Z$416</f>
        <v>43.760278231454038</v>
      </c>
      <c r="L416" s="55">
        <f>EFEITO!$N$416*EFEITO!$AA$416</f>
        <v>18.542082399535555</v>
      </c>
      <c r="M416" s="55">
        <f>$J$416-EFEITO!$K$416*EFEITO!$Y$416</f>
        <v>0</v>
      </c>
      <c r="N416" s="55">
        <f ca="1">$K$416-EFEITO!$M$416*EFEITO!$Z$416</f>
        <v>0</v>
      </c>
      <c r="O416" s="55">
        <f>$L$416-EFEITO!$O$416*EFEITO!$AA$416</f>
        <v>0</v>
      </c>
      <c r="P416" s="39"/>
      <c r="Q416" s="39"/>
      <c r="R416" s="39"/>
      <c r="S416" s="39"/>
      <c r="T416" s="39"/>
      <c r="U416" s="39"/>
      <c r="V416" s="39"/>
      <c r="W416" s="39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35" t="s">
        <v>28</v>
      </c>
      <c r="B417" s="35" t="s">
        <v>33</v>
      </c>
      <c r="C417" s="35" t="s">
        <v>23</v>
      </c>
      <c r="D417" s="35" t="s">
        <v>49</v>
      </c>
      <c r="E417" s="35" t="s">
        <v>25</v>
      </c>
      <c r="F417" s="35" t="s">
        <v>25</v>
      </c>
      <c r="G417" s="35" t="s">
        <v>25</v>
      </c>
      <c r="H417" s="35" t="s">
        <v>25</v>
      </c>
      <c r="I417" s="54">
        <v>44501</v>
      </c>
      <c r="J417" s="55">
        <f>EFEITO!$J$417*EFEITO!$Y$417</f>
        <v>0</v>
      </c>
      <c r="K417" s="55">
        <f ca="1">EFEITO!$L$417*EFEITO!$Z$417</f>
        <v>43.760278231454038</v>
      </c>
      <c r="L417" s="55">
        <f>EFEITO!$N$417*EFEITO!$AA$417</f>
        <v>18.542082399535555</v>
      </c>
      <c r="M417" s="55">
        <f>$J$417-EFEITO!$K$417*EFEITO!$Y$417</f>
        <v>0</v>
      </c>
      <c r="N417" s="55">
        <f ca="1">$K$417-EFEITO!$M$417*EFEITO!$Z$417</f>
        <v>0</v>
      </c>
      <c r="O417" s="55">
        <f>$L$417-EFEITO!$O$417*EFEITO!$AA$417</f>
        <v>0</v>
      </c>
      <c r="P417" s="39"/>
      <c r="Q417" s="39"/>
      <c r="R417" s="39"/>
      <c r="S417" s="39"/>
      <c r="T417" s="39"/>
      <c r="U417" s="39"/>
      <c r="V417" s="39"/>
      <c r="W417" s="39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35" t="s">
        <v>21</v>
      </c>
      <c r="B418" s="35" t="s">
        <v>33</v>
      </c>
      <c r="C418" s="35" t="s">
        <v>23</v>
      </c>
      <c r="D418" s="35" t="s">
        <v>49</v>
      </c>
      <c r="E418" s="35" t="s">
        <v>25</v>
      </c>
      <c r="F418" s="35" t="s">
        <v>25</v>
      </c>
      <c r="G418" s="35" t="s">
        <v>25</v>
      </c>
      <c r="H418" s="35" t="s">
        <v>25</v>
      </c>
      <c r="I418" s="54">
        <v>44531</v>
      </c>
      <c r="J418" s="55">
        <f>EFEITO!$J$418*EFEITO!$Y$418</f>
        <v>0</v>
      </c>
      <c r="K418" s="55">
        <f ca="1">EFEITO!$L$418*EFEITO!$Z$418</f>
        <v>43.760278231454038</v>
      </c>
      <c r="L418" s="55">
        <f>EFEITO!$N$418*EFEITO!$AA$418</f>
        <v>18.542082399535555</v>
      </c>
      <c r="M418" s="55">
        <f>$J$418-EFEITO!$K$418*EFEITO!$Y$418</f>
        <v>0</v>
      </c>
      <c r="N418" s="55">
        <f ca="1">$K$418-EFEITO!$M$418*EFEITO!$Z$418</f>
        <v>0</v>
      </c>
      <c r="O418" s="55">
        <f>$L$418-EFEITO!$O$418*EFEITO!$AA$418</f>
        <v>0</v>
      </c>
      <c r="P418" s="39"/>
      <c r="Q418" s="39"/>
      <c r="R418" s="39"/>
      <c r="S418" s="39"/>
      <c r="T418" s="39"/>
      <c r="U418" s="39"/>
      <c r="V418" s="39"/>
      <c r="W418" s="39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35" t="s">
        <v>28</v>
      </c>
      <c r="B419" s="35" t="s">
        <v>33</v>
      </c>
      <c r="C419" s="35" t="s">
        <v>23</v>
      </c>
      <c r="D419" s="35" t="s">
        <v>49</v>
      </c>
      <c r="E419" s="35" t="s">
        <v>25</v>
      </c>
      <c r="F419" s="35" t="s">
        <v>25</v>
      </c>
      <c r="G419" s="35" t="s">
        <v>25</v>
      </c>
      <c r="H419" s="35" t="s">
        <v>25</v>
      </c>
      <c r="I419" s="54">
        <v>44531</v>
      </c>
      <c r="J419" s="55">
        <f>EFEITO!$J$419*EFEITO!$Y$419</f>
        <v>0</v>
      </c>
      <c r="K419" s="55">
        <f ca="1">EFEITO!$L$419*EFEITO!$Z$419</f>
        <v>43.760278231454038</v>
      </c>
      <c r="L419" s="55">
        <f>EFEITO!$N$419*EFEITO!$AA$419</f>
        <v>18.542082399535555</v>
      </c>
      <c r="M419" s="55">
        <f>$J$419-EFEITO!$K$419*EFEITO!$Y$419</f>
        <v>0</v>
      </c>
      <c r="N419" s="55">
        <f ca="1">$K$419-EFEITO!$M$419*EFEITO!$Z$419</f>
        <v>0</v>
      </c>
      <c r="O419" s="55">
        <f>$L$419-EFEITO!$O$419*EFEITO!$AA$419</f>
        <v>0</v>
      </c>
      <c r="P419" s="39"/>
      <c r="Q419" s="39"/>
      <c r="R419" s="39"/>
      <c r="S419" s="39"/>
      <c r="T419" s="39"/>
      <c r="U419" s="39"/>
      <c r="V419" s="39"/>
      <c r="W419" s="39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35" t="s">
        <v>21</v>
      </c>
      <c r="B420" s="35" t="s">
        <v>33</v>
      </c>
      <c r="C420" s="35" t="s">
        <v>23</v>
      </c>
      <c r="D420" s="35" t="s">
        <v>49</v>
      </c>
      <c r="E420" s="35" t="s">
        <v>25</v>
      </c>
      <c r="F420" s="35" t="s">
        <v>25</v>
      </c>
      <c r="G420" s="35" t="s">
        <v>25</v>
      </c>
      <c r="H420" s="35" t="s">
        <v>25</v>
      </c>
      <c r="I420" s="54">
        <v>44562</v>
      </c>
      <c r="J420" s="55">
        <f>EFEITO!$J$420*EFEITO!$Y$420</f>
        <v>0</v>
      </c>
      <c r="K420" s="55">
        <f ca="1">EFEITO!$L$420*EFEITO!$Z$420</f>
        <v>43.760278231454038</v>
      </c>
      <c r="L420" s="55">
        <f>EFEITO!$N$420*EFEITO!$AA$420</f>
        <v>18.542082399535555</v>
      </c>
      <c r="M420" s="55">
        <f>$J$420-EFEITO!$K$420*EFEITO!$Y$420</f>
        <v>0</v>
      </c>
      <c r="N420" s="55">
        <f ca="1">$K$420-EFEITO!$M$420*EFEITO!$Z$420</f>
        <v>0</v>
      </c>
      <c r="O420" s="55">
        <f>$L$420-EFEITO!$O$420*EFEITO!$AA$420</f>
        <v>0</v>
      </c>
      <c r="P420" s="39"/>
      <c r="Q420" s="39"/>
      <c r="R420" s="39"/>
      <c r="S420" s="39"/>
      <c r="T420" s="39"/>
      <c r="U420" s="39"/>
      <c r="V420" s="39"/>
      <c r="W420" s="39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35" t="s">
        <v>28</v>
      </c>
      <c r="B421" s="35" t="s">
        <v>33</v>
      </c>
      <c r="C421" s="35" t="s">
        <v>23</v>
      </c>
      <c r="D421" s="35" t="s">
        <v>49</v>
      </c>
      <c r="E421" s="35" t="s">
        <v>25</v>
      </c>
      <c r="F421" s="35" t="s">
        <v>25</v>
      </c>
      <c r="G421" s="35" t="s">
        <v>25</v>
      </c>
      <c r="H421" s="35" t="s">
        <v>25</v>
      </c>
      <c r="I421" s="54">
        <v>44562</v>
      </c>
      <c r="J421" s="55">
        <f>EFEITO!$J$421*EFEITO!$Y$421</f>
        <v>0</v>
      </c>
      <c r="K421" s="55">
        <f ca="1">EFEITO!$L$421*EFEITO!$Z$421</f>
        <v>43.760278231454038</v>
      </c>
      <c r="L421" s="55">
        <f>EFEITO!$N$421*EFEITO!$AA$421</f>
        <v>18.542082399535555</v>
      </c>
      <c r="M421" s="55">
        <f>$J$421-EFEITO!$K$421*EFEITO!$Y$421</f>
        <v>0</v>
      </c>
      <c r="N421" s="55">
        <f ca="1">$K$421-EFEITO!$M$421*EFEITO!$Z$421</f>
        <v>0</v>
      </c>
      <c r="O421" s="55">
        <f>$L$421-EFEITO!$O$421*EFEITO!$AA$421</f>
        <v>0</v>
      </c>
      <c r="P421" s="39"/>
      <c r="Q421" s="39"/>
      <c r="R421" s="39"/>
      <c r="S421" s="39"/>
      <c r="T421" s="39"/>
      <c r="U421" s="39"/>
      <c r="V421" s="39"/>
      <c r="W421" s="39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35" t="s">
        <v>21</v>
      </c>
      <c r="B422" s="35" t="s">
        <v>33</v>
      </c>
      <c r="C422" s="35" t="s">
        <v>23</v>
      </c>
      <c r="D422" s="35" t="s">
        <v>49</v>
      </c>
      <c r="E422" s="35" t="s">
        <v>25</v>
      </c>
      <c r="F422" s="35" t="s">
        <v>25</v>
      </c>
      <c r="G422" s="35" t="s">
        <v>25</v>
      </c>
      <c r="H422" s="35" t="s">
        <v>25</v>
      </c>
      <c r="I422" s="54">
        <v>44593</v>
      </c>
      <c r="J422" s="55">
        <f>EFEITO!$J$422*EFEITO!$Y$422</f>
        <v>0</v>
      </c>
      <c r="K422" s="55">
        <f ca="1">EFEITO!$L$422*EFEITO!$Z$422</f>
        <v>43.760278231454038</v>
      </c>
      <c r="L422" s="55">
        <f>EFEITO!$N$422*EFEITO!$AA$422</f>
        <v>18.542082399535555</v>
      </c>
      <c r="M422" s="55">
        <f>$J$422-EFEITO!$K$422*EFEITO!$Y$422</f>
        <v>0</v>
      </c>
      <c r="N422" s="55">
        <f ca="1">$K$422-EFEITO!$M$422*EFEITO!$Z$422</f>
        <v>0</v>
      </c>
      <c r="O422" s="55">
        <f>$L$422-EFEITO!$O$422*EFEITO!$AA$422</f>
        <v>0</v>
      </c>
      <c r="P422" s="39"/>
      <c r="Q422" s="39"/>
      <c r="R422" s="39"/>
      <c r="S422" s="39"/>
      <c r="T422" s="39"/>
      <c r="U422" s="39"/>
      <c r="V422" s="39"/>
      <c r="W422" s="39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35" t="s">
        <v>28</v>
      </c>
      <c r="B423" s="35" t="s">
        <v>33</v>
      </c>
      <c r="C423" s="35" t="s">
        <v>23</v>
      </c>
      <c r="D423" s="35" t="s">
        <v>49</v>
      </c>
      <c r="E423" s="35" t="s">
        <v>25</v>
      </c>
      <c r="F423" s="35" t="s">
        <v>25</v>
      </c>
      <c r="G423" s="35" t="s">
        <v>25</v>
      </c>
      <c r="H423" s="35" t="s">
        <v>25</v>
      </c>
      <c r="I423" s="54">
        <v>44593</v>
      </c>
      <c r="J423" s="55">
        <f>EFEITO!$J$423*EFEITO!$Y$423</f>
        <v>0</v>
      </c>
      <c r="K423" s="55">
        <f ca="1">EFEITO!$L$423*EFEITO!$Z$423</f>
        <v>43.760278231454038</v>
      </c>
      <c r="L423" s="55">
        <f>EFEITO!$N$423*EFEITO!$AA$423</f>
        <v>18.542082399535555</v>
      </c>
      <c r="M423" s="55">
        <f>$J$423-EFEITO!$K$423*EFEITO!$Y$423</f>
        <v>0</v>
      </c>
      <c r="N423" s="55">
        <f ca="1">$K$423-EFEITO!$M$423*EFEITO!$Z$423</f>
        <v>0</v>
      </c>
      <c r="O423" s="55">
        <f>$L$423-EFEITO!$O$423*EFEITO!$AA$423</f>
        <v>0</v>
      </c>
      <c r="P423" s="39"/>
      <c r="Q423" s="39"/>
      <c r="R423" s="39"/>
      <c r="S423" s="39"/>
      <c r="T423" s="39"/>
      <c r="U423" s="39"/>
      <c r="V423" s="39"/>
      <c r="W423" s="39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35" t="s">
        <v>21</v>
      </c>
      <c r="B424" s="35" t="s">
        <v>33</v>
      </c>
      <c r="C424" s="35" t="s">
        <v>23</v>
      </c>
      <c r="D424" s="35" t="s">
        <v>49</v>
      </c>
      <c r="E424" s="35" t="s">
        <v>25</v>
      </c>
      <c r="F424" s="35" t="s">
        <v>25</v>
      </c>
      <c r="G424" s="35" t="s">
        <v>25</v>
      </c>
      <c r="H424" s="35" t="s">
        <v>25</v>
      </c>
      <c r="I424" s="54">
        <v>44621</v>
      </c>
      <c r="J424" s="55">
        <f>EFEITO!$J$424*EFEITO!$Y$424</f>
        <v>0</v>
      </c>
      <c r="K424" s="55">
        <f ca="1">EFEITO!$L$424*EFEITO!$Z$424</f>
        <v>43.760278231454038</v>
      </c>
      <c r="L424" s="55">
        <f>EFEITO!$N$424*EFEITO!$AA$424</f>
        <v>18.542082399535555</v>
      </c>
      <c r="M424" s="55">
        <f>$J$424-EFEITO!$K$424*EFEITO!$Y$424</f>
        <v>0</v>
      </c>
      <c r="N424" s="55">
        <f ca="1">$K$424-EFEITO!$M$424*EFEITO!$Z$424</f>
        <v>0</v>
      </c>
      <c r="O424" s="55">
        <f>$L$424-EFEITO!$O$424*EFEITO!$AA$424</f>
        <v>0</v>
      </c>
      <c r="P424" s="39"/>
      <c r="Q424" s="39"/>
      <c r="R424" s="39"/>
      <c r="S424" s="39"/>
      <c r="T424" s="39"/>
      <c r="U424" s="39"/>
      <c r="V424" s="39"/>
      <c r="W424" s="39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35" t="s">
        <v>28</v>
      </c>
      <c r="B425" s="35" t="s">
        <v>33</v>
      </c>
      <c r="C425" s="35" t="s">
        <v>23</v>
      </c>
      <c r="D425" s="35" t="s">
        <v>49</v>
      </c>
      <c r="E425" s="35" t="s">
        <v>25</v>
      </c>
      <c r="F425" s="35" t="s">
        <v>25</v>
      </c>
      <c r="G425" s="35" t="s">
        <v>25</v>
      </c>
      <c r="H425" s="35" t="s">
        <v>25</v>
      </c>
      <c r="I425" s="54">
        <v>44621</v>
      </c>
      <c r="J425" s="55">
        <f>EFEITO!$J$425*EFEITO!$Y$425</f>
        <v>0</v>
      </c>
      <c r="K425" s="55">
        <f ca="1">EFEITO!$L$425*EFEITO!$Z$425</f>
        <v>43.760278231454038</v>
      </c>
      <c r="L425" s="55">
        <f>EFEITO!$N$425*EFEITO!$AA$425</f>
        <v>18.542082399535555</v>
      </c>
      <c r="M425" s="55">
        <f>$J$425-EFEITO!$K$425*EFEITO!$Y$425</f>
        <v>0</v>
      </c>
      <c r="N425" s="55">
        <f ca="1">$K$425-EFEITO!$M$425*EFEITO!$Z$425</f>
        <v>0</v>
      </c>
      <c r="O425" s="55">
        <f>$L$425-EFEITO!$O$425*EFEITO!$AA$425</f>
        <v>0</v>
      </c>
      <c r="P425" s="39"/>
      <c r="Q425" s="39"/>
      <c r="R425" s="39"/>
      <c r="S425" s="39"/>
      <c r="T425" s="39"/>
      <c r="U425" s="39"/>
      <c r="V425" s="39"/>
      <c r="W425" s="39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35" t="s">
        <v>21</v>
      </c>
      <c r="B426" s="35" t="s">
        <v>33</v>
      </c>
      <c r="C426" s="35" t="s">
        <v>23</v>
      </c>
      <c r="D426" s="35" t="s">
        <v>49</v>
      </c>
      <c r="E426" s="35" t="s">
        <v>25</v>
      </c>
      <c r="F426" s="35" t="s">
        <v>25</v>
      </c>
      <c r="G426" s="35" t="s">
        <v>25</v>
      </c>
      <c r="H426" s="35" t="s">
        <v>25</v>
      </c>
      <c r="I426" s="54">
        <v>44652</v>
      </c>
      <c r="J426" s="55">
        <f>EFEITO!$J$426*EFEITO!$Y$426</f>
        <v>0</v>
      </c>
      <c r="K426" s="55">
        <f ca="1">EFEITO!$L$426*EFEITO!$Z$426</f>
        <v>43.760278231454038</v>
      </c>
      <c r="L426" s="55">
        <f>EFEITO!$N$426*EFEITO!$AA$426</f>
        <v>18.542082399535555</v>
      </c>
      <c r="M426" s="55">
        <f>$J$426-EFEITO!$K$426*EFEITO!$Y$426</f>
        <v>0</v>
      </c>
      <c r="N426" s="55">
        <f ca="1">$K$426-EFEITO!$M$426*EFEITO!$Z$426</f>
        <v>0</v>
      </c>
      <c r="O426" s="55">
        <f>$L$426-EFEITO!$O$426*EFEITO!$AA$426</f>
        <v>0</v>
      </c>
      <c r="P426" s="39"/>
      <c r="Q426" s="39"/>
      <c r="R426" s="39"/>
      <c r="S426" s="39"/>
      <c r="T426" s="39"/>
      <c r="U426" s="39"/>
      <c r="V426" s="39"/>
      <c r="W426" s="39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35" t="s">
        <v>28</v>
      </c>
      <c r="B427" s="35" t="s">
        <v>33</v>
      </c>
      <c r="C427" s="35" t="s">
        <v>23</v>
      </c>
      <c r="D427" s="35" t="s">
        <v>49</v>
      </c>
      <c r="E427" s="35" t="s">
        <v>25</v>
      </c>
      <c r="F427" s="35" t="s">
        <v>25</v>
      </c>
      <c r="G427" s="35" t="s">
        <v>25</v>
      </c>
      <c r="H427" s="35" t="s">
        <v>25</v>
      </c>
      <c r="I427" s="54">
        <v>44652</v>
      </c>
      <c r="J427" s="55">
        <f>EFEITO!$J$427*EFEITO!$Y$427</f>
        <v>0</v>
      </c>
      <c r="K427" s="55">
        <f ca="1">EFEITO!$L$427*EFEITO!$Z$427</f>
        <v>43.760278231454038</v>
      </c>
      <c r="L427" s="55">
        <f>EFEITO!$N$427*EFEITO!$AA$427</f>
        <v>18.542082399535555</v>
      </c>
      <c r="M427" s="55">
        <f>$J$427-EFEITO!$K$427*EFEITO!$Y$427</f>
        <v>0</v>
      </c>
      <c r="N427" s="55">
        <f ca="1">$K$427-EFEITO!$M$427*EFEITO!$Z$427</f>
        <v>0</v>
      </c>
      <c r="O427" s="55">
        <f>$L$427-EFEITO!$O$427*EFEITO!$AA$427</f>
        <v>0</v>
      </c>
      <c r="P427" s="39"/>
      <c r="Q427" s="39"/>
      <c r="R427" s="39"/>
      <c r="S427" s="39"/>
      <c r="T427" s="39"/>
      <c r="U427" s="39"/>
      <c r="V427" s="39"/>
      <c r="W427" s="39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35" t="s">
        <v>21</v>
      </c>
      <c r="B428" s="35" t="s">
        <v>33</v>
      </c>
      <c r="C428" s="35" t="s">
        <v>23</v>
      </c>
      <c r="D428" s="35" t="s">
        <v>49</v>
      </c>
      <c r="E428" s="35" t="s">
        <v>25</v>
      </c>
      <c r="F428" s="35" t="s">
        <v>25</v>
      </c>
      <c r="G428" s="35" t="s">
        <v>25</v>
      </c>
      <c r="H428" s="35" t="s">
        <v>25</v>
      </c>
      <c r="I428" s="54">
        <v>44682</v>
      </c>
      <c r="J428" s="55">
        <f>EFEITO!$J$428*EFEITO!$Y$428</f>
        <v>0</v>
      </c>
      <c r="K428" s="55">
        <f ca="1">EFEITO!$L$428*EFEITO!$Z$428</f>
        <v>43.760278231454038</v>
      </c>
      <c r="L428" s="55">
        <f>EFEITO!$N$428*EFEITO!$AA$428</f>
        <v>18.542082399535555</v>
      </c>
      <c r="M428" s="55">
        <f>$J$428-EFEITO!$K$428*EFEITO!$Y$428</f>
        <v>0</v>
      </c>
      <c r="N428" s="55">
        <f ca="1">$K$428-EFEITO!$M$428*EFEITO!$Z$428</f>
        <v>0</v>
      </c>
      <c r="O428" s="55">
        <f>$L$428-EFEITO!$O$428*EFEITO!$AA$428</f>
        <v>0</v>
      </c>
      <c r="P428" s="39"/>
      <c r="Q428" s="39"/>
      <c r="R428" s="39"/>
      <c r="S428" s="39"/>
      <c r="T428" s="39"/>
      <c r="U428" s="39"/>
      <c r="V428" s="39"/>
      <c r="W428" s="39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35" t="s">
        <v>28</v>
      </c>
      <c r="B429" s="35" t="s">
        <v>33</v>
      </c>
      <c r="C429" s="35" t="s">
        <v>23</v>
      </c>
      <c r="D429" s="35" t="s">
        <v>49</v>
      </c>
      <c r="E429" s="35" t="s">
        <v>25</v>
      </c>
      <c r="F429" s="35" t="s">
        <v>25</v>
      </c>
      <c r="G429" s="35" t="s">
        <v>25</v>
      </c>
      <c r="H429" s="35" t="s">
        <v>25</v>
      </c>
      <c r="I429" s="54">
        <v>44682</v>
      </c>
      <c r="J429" s="55">
        <f>EFEITO!$J$429*EFEITO!$Y$429</f>
        <v>0</v>
      </c>
      <c r="K429" s="55">
        <f ca="1">EFEITO!$L$429*EFEITO!$Z$429</f>
        <v>43.760278231454038</v>
      </c>
      <c r="L429" s="55">
        <f>EFEITO!$N$429*EFEITO!$AA$429</f>
        <v>18.542082399535555</v>
      </c>
      <c r="M429" s="55">
        <f>$J$429-EFEITO!$K$429*EFEITO!$Y$429</f>
        <v>0</v>
      </c>
      <c r="N429" s="55">
        <f ca="1">$K$429-EFEITO!$M$429*EFEITO!$Z$429</f>
        <v>0</v>
      </c>
      <c r="O429" s="55">
        <f>$L$429-EFEITO!$O$429*EFEITO!$AA$429</f>
        <v>0</v>
      </c>
      <c r="P429" s="39"/>
      <c r="Q429" s="39"/>
      <c r="R429" s="39"/>
      <c r="S429" s="39"/>
      <c r="T429" s="39"/>
      <c r="U429" s="39"/>
      <c r="V429" s="39"/>
      <c r="W429" s="39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35" t="s">
        <v>21</v>
      </c>
      <c r="B430" s="35" t="s">
        <v>33</v>
      </c>
      <c r="C430" s="35" t="s">
        <v>23</v>
      </c>
      <c r="D430" s="35" t="s">
        <v>49</v>
      </c>
      <c r="E430" s="35" t="s">
        <v>25</v>
      </c>
      <c r="F430" s="35" t="s">
        <v>25</v>
      </c>
      <c r="G430" s="35" t="s">
        <v>25</v>
      </c>
      <c r="H430" s="35" t="s">
        <v>25</v>
      </c>
      <c r="I430" s="54">
        <v>44713</v>
      </c>
      <c r="J430" s="55">
        <f>EFEITO!$J$430*EFEITO!$Y$430</f>
        <v>0</v>
      </c>
      <c r="K430" s="55">
        <f ca="1">EFEITO!$L$430*EFEITO!$Z$430</f>
        <v>43.760278231454038</v>
      </c>
      <c r="L430" s="55">
        <f>EFEITO!$N$430*EFEITO!$AA$430</f>
        <v>18.542082399535555</v>
      </c>
      <c r="M430" s="55">
        <f>$J$430-EFEITO!$K$430*EFEITO!$Y$430</f>
        <v>0</v>
      </c>
      <c r="N430" s="55">
        <f ca="1">$K$430-EFEITO!$M$430*EFEITO!$Z$430</f>
        <v>0</v>
      </c>
      <c r="O430" s="55">
        <f>$L$430-EFEITO!$O$430*EFEITO!$AA$430</f>
        <v>0</v>
      </c>
      <c r="P430" s="39"/>
      <c r="Q430" s="39"/>
      <c r="R430" s="39"/>
      <c r="S430" s="39"/>
      <c r="T430" s="39"/>
      <c r="U430" s="39"/>
      <c r="V430" s="39"/>
      <c r="W430" s="39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35" t="s">
        <v>28</v>
      </c>
      <c r="B431" s="35" t="s">
        <v>33</v>
      </c>
      <c r="C431" s="35" t="s">
        <v>23</v>
      </c>
      <c r="D431" s="35" t="s">
        <v>49</v>
      </c>
      <c r="E431" s="35" t="s">
        <v>25</v>
      </c>
      <c r="F431" s="35" t="s">
        <v>25</v>
      </c>
      <c r="G431" s="35" t="s">
        <v>25</v>
      </c>
      <c r="H431" s="35" t="s">
        <v>25</v>
      </c>
      <c r="I431" s="54">
        <v>44713</v>
      </c>
      <c r="J431" s="55">
        <f>EFEITO!$J$431*EFEITO!$Y$431</f>
        <v>0</v>
      </c>
      <c r="K431" s="55">
        <f ca="1">EFEITO!$L$431*EFEITO!$Z$431</f>
        <v>43.760278231454038</v>
      </c>
      <c r="L431" s="55">
        <f>EFEITO!$N$431*EFEITO!$AA$431</f>
        <v>18.542082399535555</v>
      </c>
      <c r="M431" s="55">
        <f>$J$431-EFEITO!$K$431*EFEITO!$Y$431</f>
        <v>0</v>
      </c>
      <c r="N431" s="55">
        <f ca="1">$K$431-EFEITO!$M$431*EFEITO!$Z$431</f>
        <v>0</v>
      </c>
      <c r="O431" s="55">
        <f>$L$431-EFEITO!$O$431*EFEITO!$AA$431</f>
        <v>0</v>
      </c>
      <c r="P431" s="39"/>
      <c r="Q431" s="39"/>
      <c r="R431" s="39"/>
      <c r="S431" s="39"/>
      <c r="T431" s="39"/>
      <c r="U431" s="39"/>
      <c r="V431" s="39"/>
      <c r="W431" s="39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35" t="s">
        <v>21</v>
      </c>
      <c r="B432" s="35" t="s">
        <v>33</v>
      </c>
      <c r="C432" s="35" t="s">
        <v>23</v>
      </c>
      <c r="D432" s="35" t="s">
        <v>49</v>
      </c>
      <c r="E432" s="35" t="s">
        <v>25</v>
      </c>
      <c r="F432" s="35" t="s">
        <v>25</v>
      </c>
      <c r="G432" s="35" t="s">
        <v>25</v>
      </c>
      <c r="H432" s="35" t="s">
        <v>25</v>
      </c>
      <c r="I432" s="54">
        <v>44743</v>
      </c>
      <c r="J432" s="55">
        <f>EFEITO!$J$432*EFEITO!$Y$432</f>
        <v>0</v>
      </c>
      <c r="K432" s="55">
        <f ca="1">EFEITO!$L$432*EFEITO!$Z$432</f>
        <v>43.760278231454038</v>
      </c>
      <c r="L432" s="55">
        <f>EFEITO!$N$432*EFEITO!$AA$432</f>
        <v>18.542082399535555</v>
      </c>
      <c r="M432" s="55">
        <f>$J$432-EFEITO!$K$432*EFEITO!$Y$432</f>
        <v>0</v>
      </c>
      <c r="N432" s="55">
        <f ca="1">$K$432-EFEITO!$M$432*EFEITO!$Z$432</f>
        <v>0</v>
      </c>
      <c r="O432" s="55">
        <f>$L$432-EFEITO!$O$432*EFEITO!$AA$432</f>
        <v>0</v>
      </c>
      <c r="P432" s="39"/>
      <c r="Q432" s="39"/>
      <c r="R432" s="39"/>
      <c r="S432" s="39"/>
      <c r="T432" s="39"/>
      <c r="U432" s="39"/>
      <c r="V432" s="39"/>
      <c r="W432" s="39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35" t="s">
        <v>28</v>
      </c>
      <c r="B433" s="35" t="s">
        <v>33</v>
      </c>
      <c r="C433" s="35" t="s">
        <v>23</v>
      </c>
      <c r="D433" s="35" t="s">
        <v>49</v>
      </c>
      <c r="E433" s="35" t="s">
        <v>25</v>
      </c>
      <c r="F433" s="35" t="s">
        <v>25</v>
      </c>
      <c r="G433" s="35" t="s">
        <v>25</v>
      </c>
      <c r="H433" s="35" t="s">
        <v>25</v>
      </c>
      <c r="I433" s="54">
        <v>44743</v>
      </c>
      <c r="J433" s="55">
        <f>EFEITO!$J$433*EFEITO!$Y$433</f>
        <v>0</v>
      </c>
      <c r="K433" s="55">
        <f ca="1">EFEITO!$L$433*EFEITO!$Z$433</f>
        <v>43.760278231454038</v>
      </c>
      <c r="L433" s="55">
        <f>EFEITO!$N$433*EFEITO!$AA$433</f>
        <v>18.542082399535555</v>
      </c>
      <c r="M433" s="55">
        <f>$J$433-EFEITO!$K$433*EFEITO!$Y$433</f>
        <v>0</v>
      </c>
      <c r="N433" s="55">
        <f ca="1">$K$433-EFEITO!$M$433*EFEITO!$Z$433</f>
        <v>0</v>
      </c>
      <c r="O433" s="55">
        <f>$L$433-EFEITO!$O$433*EFEITO!$AA$433</f>
        <v>0</v>
      </c>
      <c r="P433" s="39"/>
      <c r="Q433" s="39"/>
      <c r="R433" s="39"/>
      <c r="S433" s="39"/>
      <c r="T433" s="39"/>
      <c r="U433" s="39"/>
      <c r="V433" s="39"/>
      <c r="W433" s="39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35" t="s">
        <v>21</v>
      </c>
      <c r="B434" s="35" t="s">
        <v>33</v>
      </c>
      <c r="C434" s="35" t="s">
        <v>23</v>
      </c>
      <c r="D434" s="35" t="s">
        <v>49</v>
      </c>
      <c r="E434" s="35" t="s">
        <v>25</v>
      </c>
      <c r="F434" s="35" t="s">
        <v>25</v>
      </c>
      <c r="G434" s="35" t="s">
        <v>25</v>
      </c>
      <c r="H434" s="35" t="s">
        <v>25</v>
      </c>
      <c r="I434" s="54">
        <v>44774</v>
      </c>
      <c r="J434" s="55">
        <f>EFEITO!$J$434*EFEITO!$Y$434</f>
        <v>0</v>
      </c>
      <c r="K434" s="55">
        <f ca="1">EFEITO!$L$434*EFEITO!$Z$434</f>
        <v>43.760278231454038</v>
      </c>
      <c r="L434" s="55">
        <f>EFEITO!$N$434*EFEITO!$AA$434</f>
        <v>18.542082399535555</v>
      </c>
      <c r="M434" s="55">
        <f>$J$434-EFEITO!$K$434*EFEITO!$Y$434</f>
        <v>0</v>
      </c>
      <c r="N434" s="55">
        <f ca="1">$K$434-EFEITO!$M$434*EFEITO!$Z$434</f>
        <v>0</v>
      </c>
      <c r="O434" s="55">
        <f>$L$434-EFEITO!$O$434*EFEITO!$AA$434</f>
        <v>0</v>
      </c>
      <c r="P434" s="39"/>
      <c r="Q434" s="39"/>
      <c r="R434" s="39"/>
      <c r="S434" s="39"/>
      <c r="T434" s="39"/>
      <c r="U434" s="39"/>
      <c r="V434" s="39"/>
      <c r="W434" s="39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35" t="s">
        <v>28</v>
      </c>
      <c r="B435" s="35" t="s">
        <v>33</v>
      </c>
      <c r="C435" s="35" t="s">
        <v>23</v>
      </c>
      <c r="D435" s="35" t="s">
        <v>49</v>
      </c>
      <c r="E435" s="35" t="s">
        <v>25</v>
      </c>
      <c r="F435" s="35" t="s">
        <v>25</v>
      </c>
      <c r="G435" s="35" t="s">
        <v>25</v>
      </c>
      <c r="H435" s="35" t="s">
        <v>25</v>
      </c>
      <c r="I435" s="54">
        <v>44774</v>
      </c>
      <c r="J435" s="55">
        <f>EFEITO!$J$435*EFEITO!$Y$435</f>
        <v>0</v>
      </c>
      <c r="K435" s="55">
        <f ca="1">EFEITO!$L$435*EFEITO!$Z$435</f>
        <v>43.760278231454038</v>
      </c>
      <c r="L435" s="55">
        <f>EFEITO!$N$435*EFEITO!$AA$435</f>
        <v>18.542082399535555</v>
      </c>
      <c r="M435" s="55">
        <f>$J$435-EFEITO!$K$435*EFEITO!$Y$435</f>
        <v>0</v>
      </c>
      <c r="N435" s="55">
        <f ca="1">$K$435-EFEITO!$M$435*EFEITO!$Z$435</f>
        <v>0</v>
      </c>
      <c r="O435" s="55">
        <f>$L$435-EFEITO!$O$435*EFEITO!$AA$435</f>
        <v>0</v>
      </c>
      <c r="P435" s="39"/>
      <c r="Q435" s="39"/>
      <c r="R435" s="39"/>
      <c r="S435" s="39"/>
      <c r="T435" s="39"/>
      <c r="U435" s="39"/>
      <c r="V435" s="39"/>
      <c r="W435" s="39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35" t="s">
        <v>21</v>
      </c>
      <c r="B436" s="35" t="s">
        <v>33</v>
      </c>
      <c r="C436" s="35" t="s">
        <v>23</v>
      </c>
      <c r="D436" s="35" t="s">
        <v>34</v>
      </c>
      <c r="E436" s="35" t="s">
        <v>25</v>
      </c>
      <c r="F436" s="35" t="s">
        <v>25</v>
      </c>
      <c r="G436" s="35" t="s">
        <v>25</v>
      </c>
      <c r="H436" s="35" t="s">
        <v>25</v>
      </c>
      <c r="I436" s="54">
        <v>44440</v>
      </c>
      <c r="J436" s="55">
        <f>EFEITO!$J$436*EFEITO!$Y$436</f>
        <v>0</v>
      </c>
      <c r="K436" s="55">
        <f ca="1">EFEITO!$L$436*EFEITO!$Z$436</f>
        <v>59560.801892485149</v>
      </c>
      <c r="L436" s="55">
        <f>EFEITO!$N$436*EFEITO!$AA$436</f>
        <v>25237.072091535858</v>
      </c>
      <c r="M436" s="55">
        <f>$J$436-EFEITO!$K$436*EFEITO!$Y$436</f>
        <v>0</v>
      </c>
      <c r="N436" s="55">
        <f ca="1">$K$436-EFEITO!$M$436*EFEITO!$Z$436</f>
        <v>0</v>
      </c>
      <c r="O436" s="55">
        <f>$L$436-EFEITO!$O$436*EFEITO!$AA$436</f>
        <v>0</v>
      </c>
      <c r="P436" s="39"/>
      <c r="Q436" s="39"/>
      <c r="R436" s="39"/>
      <c r="S436" s="39"/>
      <c r="T436" s="39"/>
      <c r="U436" s="39"/>
      <c r="V436" s="39"/>
      <c r="W436" s="39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35" t="s">
        <v>28</v>
      </c>
      <c r="B437" s="35" t="s">
        <v>33</v>
      </c>
      <c r="C437" s="35" t="s">
        <v>23</v>
      </c>
      <c r="D437" s="35" t="s">
        <v>34</v>
      </c>
      <c r="E437" s="35" t="s">
        <v>25</v>
      </c>
      <c r="F437" s="35" t="s">
        <v>25</v>
      </c>
      <c r="G437" s="35" t="s">
        <v>25</v>
      </c>
      <c r="H437" s="35" t="s">
        <v>25</v>
      </c>
      <c r="I437" s="54">
        <v>44440</v>
      </c>
      <c r="J437" s="55">
        <f>EFEITO!$J$437*EFEITO!$Y$437</f>
        <v>0</v>
      </c>
      <c r="K437" s="55">
        <f ca="1">EFEITO!$L$437*EFEITO!$Z$437</f>
        <v>2115.8094524908029</v>
      </c>
      <c r="L437" s="55">
        <f>EFEITO!$N$437*EFEITO!$AA$437</f>
        <v>896.50968401754415</v>
      </c>
      <c r="M437" s="55">
        <f>$J$437-EFEITO!$K$437*EFEITO!$Y$437</f>
        <v>0</v>
      </c>
      <c r="N437" s="55">
        <f ca="1">$K$437-EFEITO!$M$437*EFEITO!$Z$437</f>
        <v>0</v>
      </c>
      <c r="O437" s="55">
        <f>$L$437-EFEITO!$O$437*EFEITO!$AA$437</f>
        <v>0</v>
      </c>
      <c r="P437" s="39"/>
      <c r="Q437" s="39"/>
      <c r="R437" s="39"/>
      <c r="S437" s="39"/>
      <c r="T437" s="39"/>
      <c r="U437" s="39"/>
      <c r="V437" s="39"/>
      <c r="W437" s="39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35" t="s">
        <v>21</v>
      </c>
      <c r="B438" s="35" t="s">
        <v>33</v>
      </c>
      <c r="C438" s="35" t="s">
        <v>23</v>
      </c>
      <c r="D438" s="35" t="s">
        <v>34</v>
      </c>
      <c r="E438" s="35" t="s">
        <v>25</v>
      </c>
      <c r="F438" s="35" t="s">
        <v>25</v>
      </c>
      <c r="G438" s="35" t="s">
        <v>25</v>
      </c>
      <c r="H438" s="35" t="s">
        <v>25</v>
      </c>
      <c r="I438" s="54">
        <v>44470</v>
      </c>
      <c r="J438" s="55">
        <f>EFEITO!$J$438*EFEITO!$Y$438</f>
        <v>0</v>
      </c>
      <c r="K438" s="55">
        <f ca="1">EFEITO!$L$438*EFEITO!$Z$438</f>
        <v>13346.884860593482</v>
      </c>
      <c r="L438" s="55">
        <f>EFEITO!$N$438*EFEITO!$AA$438</f>
        <v>5655.3351318583445</v>
      </c>
      <c r="M438" s="55">
        <f>$J$438-EFEITO!$K$438*EFEITO!$Y$438</f>
        <v>0</v>
      </c>
      <c r="N438" s="55">
        <f ca="1">$K$438-EFEITO!$M$438*EFEITO!$Z$438</f>
        <v>0</v>
      </c>
      <c r="O438" s="55">
        <f>$L$438-EFEITO!$O$438*EFEITO!$AA$438</f>
        <v>0</v>
      </c>
      <c r="P438" s="39"/>
      <c r="Q438" s="39"/>
      <c r="R438" s="39"/>
      <c r="S438" s="39"/>
      <c r="T438" s="39"/>
      <c r="U438" s="39"/>
      <c r="V438" s="39"/>
      <c r="W438" s="39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35" t="s">
        <v>27</v>
      </c>
      <c r="B439" s="35" t="s">
        <v>33</v>
      </c>
      <c r="C439" s="35" t="s">
        <v>23</v>
      </c>
      <c r="D439" s="35" t="s">
        <v>34</v>
      </c>
      <c r="E439" s="35" t="s">
        <v>25</v>
      </c>
      <c r="F439" s="35" t="s">
        <v>25</v>
      </c>
      <c r="G439" s="35" t="s">
        <v>25</v>
      </c>
      <c r="H439" s="35" t="s">
        <v>25</v>
      </c>
      <c r="I439" s="54">
        <v>44470</v>
      </c>
      <c r="J439" s="55">
        <f>EFEITO!$J$439*EFEITO!$Y$439</f>
        <v>0</v>
      </c>
      <c r="K439" s="55">
        <f ca="1">EFEITO!$L$439*EFEITO!$Z$439</f>
        <v>-43713.892336528697</v>
      </c>
      <c r="L439" s="55">
        <f>EFEITO!$N$439*EFEITO!$AA$439</f>
        <v>-18522.427792192051</v>
      </c>
      <c r="M439" s="55">
        <f>$J$439-EFEITO!$K$439*EFEITO!$Y$439</f>
        <v>0</v>
      </c>
      <c r="N439" s="55">
        <f ca="1">$K$439-EFEITO!$M$439*EFEITO!$Z$439</f>
        <v>0</v>
      </c>
      <c r="O439" s="55">
        <f>$L$439-EFEITO!$O$439*EFEITO!$AA$439</f>
        <v>0</v>
      </c>
      <c r="P439" s="39"/>
      <c r="Q439" s="39"/>
      <c r="R439" s="39"/>
      <c r="S439" s="39"/>
      <c r="T439" s="39"/>
      <c r="U439" s="39"/>
      <c r="V439" s="39"/>
      <c r="W439" s="39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35" t="s">
        <v>28</v>
      </c>
      <c r="B440" s="35" t="s">
        <v>33</v>
      </c>
      <c r="C440" s="35" t="s">
        <v>23</v>
      </c>
      <c r="D440" s="35" t="s">
        <v>34</v>
      </c>
      <c r="E440" s="35" t="s">
        <v>25</v>
      </c>
      <c r="F440" s="35" t="s">
        <v>25</v>
      </c>
      <c r="G440" s="35" t="s">
        <v>25</v>
      </c>
      <c r="H440" s="35" t="s">
        <v>25</v>
      </c>
      <c r="I440" s="54">
        <v>44470</v>
      </c>
      <c r="J440" s="55">
        <f>EFEITO!$J$440*EFEITO!$Y$440</f>
        <v>0</v>
      </c>
      <c r="K440" s="55">
        <f ca="1">EFEITO!$L$440*EFEITO!$Z$440</f>
        <v>1689.1467397341257</v>
      </c>
      <c r="L440" s="55">
        <f>EFEITO!$N$440*EFEITO!$AA$440</f>
        <v>715.72438062207243</v>
      </c>
      <c r="M440" s="55">
        <f>$J$440-EFEITO!$K$440*EFEITO!$Y$440</f>
        <v>0</v>
      </c>
      <c r="N440" s="55">
        <f ca="1">$K$440-EFEITO!$M$440*EFEITO!$Z$440</f>
        <v>0</v>
      </c>
      <c r="O440" s="55">
        <f>$L$440-EFEITO!$O$440*EFEITO!$AA$440</f>
        <v>0</v>
      </c>
      <c r="P440" s="39"/>
      <c r="Q440" s="39"/>
      <c r="R440" s="39"/>
      <c r="S440" s="39"/>
      <c r="T440" s="39"/>
      <c r="U440" s="39"/>
      <c r="V440" s="39"/>
      <c r="W440" s="39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35" t="s">
        <v>21</v>
      </c>
      <c r="B441" s="35" t="s">
        <v>33</v>
      </c>
      <c r="C441" s="35" t="s">
        <v>23</v>
      </c>
      <c r="D441" s="35" t="s">
        <v>34</v>
      </c>
      <c r="E441" s="35" t="s">
        <v>25</v>
      </c>
      <c r="F441" s="35" t="s">
        <v>25</v>
      </c>
      <c r="G441" s="35" t="s">
        <v>25</v>
      </c>
      <c r="H441" s="35" t="s">
        <v>25</v>
      </c>
      <c r="I441" s="54">
        <v>44501</v>
      </c>
      <c r="J441" s="55">
        <f>EFEITO!$J$441*EFEITO!$Y$441</f>
        <v>0</v>
      </c>
      <c r="K441" s="55">
        <f ca="1">EFEITO!$L$441*EFEITO!$Z$441</f>
        <v>11679.180657192768</v>
      </c>
      <c r="L441" s="55">
        <f>EFEITO!$N$441*EFEITO!$AA$441</f>
        <v>4948.6963716120445</v>
      </c>
      <c r="M441" s="55">
        <f>$J$441-EFEITO!$K$441*EFEITO!$Y$441</f>
        <v>0</v>
      </c>
      <c r="N441" s="55">
        <f ca="1">$K$441-EFEITO!$M$441*EFEITO!$Z$441</f>
        <v>0</v>
      </c>
      <c r="O441" s="55">
        <f>$L$441-EFEITO!$O$441*EFEITO!$AA$441</f>
        <v>0</v>
      </c>
      <c r="P441" s="39"/>
      <c r="Q441" s="39"/>
      <c r="R441" s="39"/>
      <c r="S441" s="39"/>
      <c r="T441" s="39"/>
      <c r="U441" s="39"/>
      <c r="V441" s="39"/>
      <c r="W441" s="39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35" t="s">
        <v>28</v>
      </c>
      <c r="B442" s="35" t="s">
        <v>33</v>
      </c>
      <c r="C442" s="35" t="s">
        <v>23</v>
      </c>
      <c r="D442" s="35" t="s">
        <v>34</v>
      </c>
      <c r="E442" s="35" t="s">
        <v>25</v>
      </c>
      <c r="F442" s="35" t="s">
        <v>25</v>
      </c>
      <c r="G442" s="35" t="s">
        <v>25</v>
      </c>
      <c r="H442" s="35" t="s">
        <v>25</v>
      </c>
      <c r="I442" s="54">
        <v>44501</v>
      </c>
      <c r="J442" s="55">
        <f>EFEITO!$J$442*EFEITO!$Y$442</f>
        <v>0</v>
      </c>
      <c r="K442" s="55">
        <f ca="1">EFEITO!$L$442*EFEITO!$Z$442</f>
        <v>1208.6588847527605</v>
      </c>
      <c r="L442" s="55">
        <f>EFEITO!$N$442*EFEITO!$AA$442</f>
        <v>512.13231587517203</v>
      </c>
      <c r="M442" s="55">
        <f>$J$442-EFEITO!$K$442*EFEITO!$Y$442</f>
        <v>0</v>
      </c>
      <c r="N442" s="55">
        <f ca="1">$K$442-EFEITO!$M$442*EFEITO!$Z$442</f>
        <v>0</v>
      </c>
      <c r="O442" s="55">
        <f>$L$442-EFEITO!$O$442*EFEITO!$AA$442</f>
        <v>0</v>
      </c>
      <c r="P442" s="39"/>
      <c r="Q442" s="39"/>
      <c r="R442" s="39"/>
      <c r="S442" s="39"/>
      <c r="T442" s="39"/>
      <c r="U442" s="39"/>
      <c r="V442" s="39"/>
      <c r="W442" s="39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35" t="s">
        <v>21</v>
      </c>
      <c r="B443" s="35" t="s">
        <v>33</v>
      </c>
      <c r="C443" s="35" t="s">
        <v>23</v>
      </c>
      <c r="D443" s="35" t="s">
        <v>34</v>
      </c>
      <c r="E443" s="35" t="s">
        <v>25</v>
      </c>
      <c r="F443" s="35" t="s">
        <v>25</v>
      </c>
      <c r="G443" s="35" t="s">
        <v>25</v>
      </c>
      <c r="H443" s="35" t="s">
        <v>25</v>
      </c>
      <c r="I443" s="54">
        <v>44531</v>
      </c>
      <c r="J443" s="55">
        <f>EFEITO!$J$443*EFEITO!$Y$443</f>
        <v>0</v>
      </c>
      <c r="K443" s="55">
        <f ca="1">EFEITO!$L$443*EFEITO!$Z$443</f>
        <v>11930.364654241315</v>
      </c>
      <c r="L443" s="55">
        <f>EFEITO!$N$443*EFEITO!$AA$443</f>
        <v>5055.1279245853793</v>
      </c>
      <c r="M443" s="55">
        <f>$J$443-EFEITO!$K$443*EFEITO!$Y$443</f>
        <v>0</v>
      </c>
      <c r="N443" s="55">
        <f ca="1">$K$443-EFEITO!$M$443*EFEITO!$Z$443</f>
        <v>0</v>
      </c>
      <c r="O443" s="55">
        <f>$L$443-EFEITO!$O$443*EFEITO!$AA$443</f>
        <v>0</v>
      </c>
      <c r="P443" s="39"/>
      <c r="Q443" s="39"/>
      <c r="R443" s="39"/>
      <c r="S443" s="39"/>
      <c r="T443" s="39"/>
      <c r="U443" s="39"/>
      <c r="V443" s="39"/>
      <c r="W443" s="39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35" t="s">
        <v>28</v>
      </c>
      <c r="B444" s="35" t="s">
        <v>33</v>
      </c>
      <c r="C444" s="35" t="s">
        <v>23</v>
      </c>
      <c r="D444" s="35" t="s">
        <v>34</v>
      </c>
      <c r="E444" s="35" t="s">
        <v>25</v>
      </c>
      <c r="F444" s="35" t="s">
        <v>25</v>
      </c>
      <c r="G444" s="35" t="s">
        <v>25</v>
      </c>
      <c r="H444" s="35" t="s">
        <v>25</v>
      </c>
      <c r="I444" s="54">
        <v>44531</v>
      </c>
      <c r="J444" s="55">
        <f>EFEITO!$J$444*EFEITO!$Y$444</f>
        <v>0</v>
      </c>
      <c r="K444" s="55">
        <f ca="1">EFEITO!$L$444*EFEITO!$Z$444</f>
        <v>1234.4774489093186</v>
      </c>
      <c r="L444" s="55">
        <f>EFEITO!$N$444*EFEITO!$AA$444</f>
        <v>523.07214449089804</v>
      </c>
      <c r="M444" s="55">
        <f>$J$444-EFEITO!$K$444*EFEITO!$Y$444</f>
        <v>0</v>
      </c>
      <c r="N444" s="55">
        <f ca="1">$K$444-EFEITO!$M$444*EFEITO!$Z$444</f>
        <v>0</v>
      </c>
      <c r="O444" s="55">
        <f>$L$444-EFEITO!$O$444*EFEITO!$AA$444</f>
        <v>0</v>
      </c>
      <c r="P444" s="39"/>
      <c r="Q444" s="39"/>
      <c r="R444" s="39"/>
      <c r="S444" s="39"/>
      <c r="T444" s="39"/>
      <c r="U444" s="39"/>
      <c r="V444" s="39"/>
      <c r="W444" s="39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35" t="s">
        <v>21</v>
      </c>
      <c r="B445" s="35" t="s">
        <v>33</v>
      </c>
      <c r="C445" s="35" t="s">
        <v>23</v>
      </c>
      <c r="D445" s="35" t="s">
        <v>34</v>
      </c>
      <c r="E445" s="35" t="s">
        <v>25</v>
      </c>
      <c r="F445" s="35" t="s">
        <v>25</v>
      </c>
      <c r="G445" s="35" t="s">
        <v>25</v>
      </c>
      <c r="H445" s="35" t="s">
        <v>25</v>
      </c>
      <c r="I445" s="54">
        <v>44562</v>
      </c>
      <c r="J445" s="55">
        <f>EFEITO!$J$445*EFEITO!$Y$445</f>
        <v>0</v>
      </c>
      <c r="K445" s="55">
        <f ca="1">EFEITO!$L$445*EFEITO!$Z$445</f>
        <v>8841.7642166652877</v>
      </c>
      <c r="L445" s="55">
        <f>EFEITO!$N$445*EFEITO!$AA$445</f>
        <v>3746.4277488261587</v>
      </c>
      <c r="M445" s="55">
        <f>$J$445-EFEITO!$K$445*EFEITO!$Y$445</f>
        <v>0</v>
      </c>
      <c r="N445" s="55">
        <f ca="1">$K$445-EFEITO!$M$445*EFEITO!$Z$445</f>
        <v>0</v>
      </c>
      <c r="O445" s="55">
        <f>$L$445-EFEITO!$O$445*EFEITO!$AA$445</f>
        <v>0</v>
      </c>
      <c r="P445" s="39"/>
      <c r="Q445" s="39"/>
      <c r="R445" s="39"/>
      <c r="S445" s="39"/>
      <c r="T445" s="39"/>
      <c r="U445" s="39"/>
      <c r="V445" s="39"/>
      <c r="W445" s="39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35" t="s">
        <v>28</v>
      </c>
      <c r="B446" s="35" t="s">
        <v>33</v>
      </c>
      <c r="C446" s="35" t="s">
        <v>23</v>
      </c>
      <c r="D446" s="35" t="s">
        <v>34</v>
      </c>
      <c r="E446" s="35" t="s">
        <v>25</v>
      </c>
      <c r="F446" s="35" t="s">
        <v>25</v>
      </c>
      <c r="G446" s="35" t="s">
        <v>25</v>
      </c>
      <c r="H446" s="35" t="s">
        <v>25</v>
      </c>
      <c r="I446" s="54">
        <v>44562</v>
      </c>
      <c r="J446" s="55">
        <f>EFEITO!$J$446*EFEITO!$Y$446</f>
        <v>0</v>
      </c>
      <c r="K446" s="55">
        <f ca="1">EFEITO!$L$446*EFEITO!$Z$446</f>
        <v>43.760278231454038</v>
      </c>
      <c r="L446" s="55">
        <f>EFEITO!$N$446*EFEITO!$AA$446</f>
        <v>18.542082399535555</v>
      </c>
      <c r="M446" s="55">
        <f>$J$446-EFEITO!$K$446*EFEITO!$Y$446</f>
        <v>0</v>
      </c>
      <c r="N446" s="55">
        <f ca="1">$K$446-EFEITO!$M$446*EFEITO!$Z$446</f>
        <v>0</v>
      </c>
      <c r="O446" s="55">
        <f>$L$446-EFEITO!$O$446*EFEITO!$AA$446</f>
        <v>0</v>
      </c>
      <c r="P446" s="39"/>
      <c r="Q446" s="39"/>
      <c r="R446" s="39"/>
      <c r="S446" s="39"/>
      <c r="T446" s="39"/>
      <c r="U446" s="39"/>
      <c r="V446" s="39"/>
      <c r="W446" s="39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35" t="s">
        <v>21</v>
      </c>
      <c r="B447" s="35" t="s">
        <v>33</v>
      </c>
      <c r="C447" s="35" t="s">
        <v>23</v>
      </c>
      <c r="D447" s="35" t="s">
        <v>34</v>
      </c>
      <c r="E447" s="35" t="s">
        <v>25</v>
      </c>
      <c r="F447" s="35" t="s">
        <v>25</v>
      </c>
      <c r="G447" s="35" t="s">
        <v>25</v>
      </c>
      <c r="H447" s="35" t="s">
        <v>25</v>
      </c>
      <c r="I447" s="54">
        <v>44593</v>
      </c>
      <c r="J447" s="55">
        <f>EFEITO!$J$447*EFEITO!$Y$447</f>
        <v>0</v>
      </c>
      <c r="K447" s="55">
        <f ca="1">EFEITO!$L$447*EFEITO!$Z$447</f>
        <v>9744.5387565801848</v>
      </c>
      <c r="L447" s="55">
        <f>EFEITO!$N$447*EFEITO!$AA$447</f>
        <v>4128.9509087285778</v>
      </c>
      <c r="M447" s="55">
        <f>$J$447-EFEITO!$K$447*EFEITO!$Y$447</f>
        <v>0</v>
      </c>
      <c r="N447" s="55">
        <f ca="1">$K$447-EFEITO!$M$447*EFEITO!$Z$447</f>
        <v>0</v>
      </c>
      <c r="O447" s="55">
        <f>$L$447-EFEITO!$O$447*EFEITO!$AA$447</f>
        <v>0</v>
      </c>
      <c r="P447" s="39"/>
      <c r="Q447" s="39"/>
      <c r="R447" s="39"/>
      <c r="S447" s="39"/>
      <c r="T447" s="39"/>
      <c r="U447" s="39"/>
      <c r="V447" s="39"/>
      <c r="W447" s="39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35" t="s">
        <v>28</v>
      </c>
      <c r="B448" s="35" t="s">
        <v>33</v>
      </c>
      <c r="C448" s="35" t="s">
        <v>23</v>
      </c>
      <c r="D448" s="35" t="s">
        <v>34</v>
      </c>
      <c r="E448" s="35" t="s">
        <v>25</v>
      </c>
      <c r="F448" s="35" t="s">
        <v>25</v>
      </c>
      <c r="G448" s="35" t="s">
        <v>25</v>
      </c>
      <c r="H448" s="35" t="s">
        <v>25</v>
      </c>
      <c r="I448" s="54">
        <v>44593</v>
      </c>
      <c r="J448" s="55">
        <f>EFEITO!$J$448*EFEITO!$Y$448</f>
        <v>0</v>
      </c>
      <c r="K448" s="55">
        <f ca="1">EFEITO!$L$448*EFEITO!$Z$448</f>
        <v>871.70474237056442</v>
      </c>
      <c r="L448" s="55">
        <f>EFEITO!$N$448*EFEITO!$AA$448</f>
        <v>369.35828139874826</v>
      </c>
      <c r="M448" s="55">
        <f>$J$448-EFEITO!$K$448*EFEITO!$Y$448</f>
        <v>0</v>
      </c>
      <c r="N448" s="55">
        <f ca="1">$K$448-EFEITO!$M$448*EFEITO!$Z$448</f>
        <v>0</v>
      </c>
      <c r="O448" s="55">
        <f>$L$448-EFEITO!$O$448*EFEITO!$AA$448</f>
        <v>0</v>
      </c>
      <c r="P448" s="39"/>
      <c r="Q448" s="39"/>
      <c r="R448" s="39"/>
      <c r="S448" s="39"/>
      <c r="T448" s="39"/>
      <c r="U448" s="39"/>
      <c r="V448" s="39"/>
      <c r="W448" s="39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35" t="s">
        <v>21</v>
      </c>
      <c r="B449" s="35" t="s">
        <v>33</v>
      </c>
      <c r="C449" s="35" t="s">
        <v>23</v>
      </c>
      <c r="D449" s="35" t="s">
        <v>34</v>
      </c>
      <c r="E449" s="35" t="s">
        <v>25</v>
      </c>
      <c r="F449" s="35" t="s">
        <v>25</v>
      </c>
      <c r="G449" s="35" t="s">
        <v>25</v>
      </c>
      <c r="H449" s="35" t="s">
        <v>25</v>
      </c>
      <c r="I449" s="54">
        <v>44621</v>
      </c>
      <c r="J449" s="55">
        <f>EFEITO!$J$449*EFEITO!$Y$449</f>
        <v>0</v>
      </c>
      <c r="K449" s="55">
        <f ca="1">EFEITO!$L$449*EFEITO!$Z$449</f>
        <v>10475.773005827783</v>
      </c>
      <c r="L449" s="55">
        <f>EFEITO!$N$449*EFEITO!$AA$449</f>
        <v>4438.7891056248172</v>
      </c>
      <c r="M449" s="55">
        <f>$J$449-EFEITO!$K$449*EFEITO!$Y$449</f>
        <v>0</v>
      </c>
      <c r="N449" s="55">
        <f ca="1">$K$449-EFEITO!$M$449*EFEITO!$Z$449</f>
        <v>0</v>
      </c>
      <c r="O449" s="55">
        <f>$L$449-EFEITO!$O$449*EFEITO!$AA$449</f>
        <v>0</v>
      </c>
      <c r="P449" s="39"/>
      <c r="Q449" s="39"/>
      <c r="R449" s="39"/>
      <c r="S449" s="39"/>
      <c r="T449" s="39"/>
      <c r="U449" s="39"/>
      <c r="V449" s="39"/>
      <c r="W449" s="39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35" t="s">
        <v>28</v>
      </c>
      <c r="B450" s="35" t="s">
        <v>33</v>
      </c>
      <c r="C450" s="35" t="s">
        <v>23</v>
      </c>
      <c r="D450" s="35" t="s">
        <v>34</v>
      </c>
      <c r="E450" s="35" t="s">
        <v>25</v>
      </c>
      <c r="F450" s="35" t="s">
        <v>25</v>
      </c>
      <c r="G450" s="35" t="s">
        <v>25</v>
      </c>
      <c r="H450" s="35" t="s">
        <v>25</v>
      </c>
      <c r="I450" s="54">
        <v>44621</v>
      </c>
      <c r="J450" s="55">
        <f>EFEITO!$J$450*EFEITO!$Y$450</f>
        <v>0</v>
      </c>
      <c r="K450" s="55">
        <f ca="1">EFEITO!$L$450*EFEITO!$Z$450</f>
        <v>1461.1556901482504</v>
      </c>
      <c r="L450" s="55">
        <f>EFEITO!$N$450*EFEITO!$AA$450</f>
        <v>619.12013132049219</v>
      </c>
      <c r="M450" s="55">
        <f>$J$450-EFEITO!$K$450*EFEITO!$Y$450</f>
        <v>0</v>
      </c>
      <c r="N450" s="55">
        <f ca="1">$K$450-EFEITO!$M$450*EFEITO!$Z$450</f>
        <v>0</v>
      </c>
      <c r="O450" s="55">
        <f>$L$450-EFEITO!$O$450*EFEITO!$AA$450</f>
        <v>0</v>
      </c>
      <c r="P450" s="39"/>
      <c r="Q450" s="39"/>
      <c r="R450" s="39"/>
      <c r="S450" s="39"/>
      <c r="T450" s="39"/>
      <c r="U450" s="39"/>
      <c r="V450" s="39"/>
      <c r="W450" s="39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35" t="s">
        <v>21</v>
      </c>
      <c r="B451" s="35" t="s">
        <v>33</v>
      </c>
      <c r="C451" s="35" t="s">
        <v>23</v>
      </c>
      <c r="D451" s="35" t="s">
        <v>34</v>
      </c>
      <c r="E451" s="35" t="s">
        <v>25</v>
      </c>
      <c r="F451" s="35" t="s">
        <v>25</v>
      </c>
      <c r="G451" s="35" t="s">
        <v>25</v>
      </c>
      <c r="H451" s="35" t="s">
        <v>25</v>
      </c>
      <c r="I451" s="54">
        <v>44652</v>
      </c>
      <c r="J451" s="55">
        <f>EFEITO!$J$451*EFEITO!$Y$451</f>
        <v>0</v>
      </c>
      <c r="K451" s="55">
        <f ca="1">EFEITO!$L$451*EFEITO!$Z$451</f>
        <v>11367.169873402501</v>
      </c>
      <c r="L451" s="55">
        <f>EFEITO!$N$451*EFEITO!$AA$451</f>
        <v>4816.4913241033555</v>
      </c>
      <c r="M451" s="55">
        <f>$J$451-EFEITO!$K$451*EFEITO!$Y$451</f>
        <v>0</v>
      </c>
      <c r="N451" s="55">
        <f ca="1">$K$451-EFEITO!$M$451*EFEITO!$Z$451</f>
        <v>0</v>
      </c>
      <c r="O451" s="55">
        <f>$L$451-EFEITO!$O$451*EFEITO!$AA$451</f>
        <v>0</v>
      </c>
      <c r="P451" s="39"/>
      <c r="Q451" s="39"/>
      <c r="R451" s="39"/>
      <c r="S451" s="39"/>
      <c r="T451" s="39"/>
      <c r="U451" s="39"/>
      <c r="V451" s="39"/>
      <c r="W451" s="39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35" t="s">
        <v>28</v>
      </c>
      <c r="B452" s="35" t="s">
        <v>33</v>
      </c>
      <c r="C452" s="35" t="s">
        <v>23</v>
      </c>
      <c r="D452" s="35" t="s">
        <v>34</v>
      </c>
      <c r="E452" s="35" t="s">
        <v>25</v>
      </c>
      <c r="F452" s="35" t="s">
        <v>25</v>
      </c>
      <c r="G452" s="35" t="s">
        <v>25</v>
      </c>
      <c r="H452" s="35" t="s">
        <v>25</v>
      </c>
      <c r="I452" s="54">
        <v>44652</v>
      </c>
      <c r="J452" s="55">
        <f>EFEITO!$J$452*EFEITO!$Y$452</f>
        <v>0</v>
      </c>
      <c r="K452" s="55">
        <f ca="1">EFEITO!$L$452*EFEITO!$Z$452</f>
        <v>1826.116410598577</v>
      </c>
      <c r="L452" s="55">
        <f>EFEITO!$N$452*EFEITO!$AA$452</f>
        <v>773.7610985326188</v>
      </c>
      <c r="M452" s="55">
        <f>$J$452-EFEITO!$K$452*EFEITO!$Y$452</f>
        <v>0</v>
      </c>
      <c r="N452" s="55">
        <f ca="1">$K$452-EFEITO!$M$452*EFEITO!$Z$452</f>
        <v>0</v>
      </c>
      <c r="O452" s="55">
        <f>$L$452-EFEITO!$O$452*EFEITO!$AA$452</f>
        <v>0</v>
      </c>
      <c r="P452" s="39"/>
      <c r="Q452" s="39"/>
      <c r="R452" s="39"/>
      <c r="S452" s="39"/>
      <c r="T452" s="39"/>
      <c r="U452" s="39"/>
      <c r="V452" s="39"/>
      <c r="W452" s="39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35" t="s">
        <v>21</v>
      </c>
      <c r="B453" s="35" t="s">
        <v>33</v>
      </c>
      <c r="C453" s="35" t="s">
        <v>23</v>
      </c>
      <c r="D453" s="35" t="s">
        <v>34</v>
      </c>
      <c r="E453" s="35" t="s">
        <v>25</v>
      </c>
      <c r="F453" s="35" t="s">
        <v>25</v>
      </c>
      <c r="G453" s="35" t="s">
        <v>25</v>
      </c>
      <c r="H453" s="35" t="s">
        <v>25</v>
      </c>
      <c r="I453" s="54">
        <v>44682</v>
      </c>
      <c r="J453" s="55">
        <f>EFEITO!$J$453*EFEITO!$Y$453</f>
        <v>0</v>
      </c>
      <c r="K453" s="55">
        <f ca="1">EFEITO!$L$453*EFEITO!$Z$453</f>
        <v>10416.696630215318</v>
      </c>
      <c r="L453" s="55">
        <f>EFEITO!$N$453*EFEITO!$AA$453</f>
        <v>4413.7572943854439</v>
      </c>
      <c r="M453" s="55">
        <f>$J$453-EFEITO!$K$453*EFEITO!$Y$453</f>
        <v>0</v>
      </c>
      <c r="N453" s="55">
        <f ca="1">$K$453-EFEITO!$M$453*EFEITO!$Z$453</f>
        <v>0</v>
      </c>
      <c r="O453" s="55">
        <f>$L$453-EFEITO!$O$453*EFEITO!$AA$453</f>
        <v>0</v>
      </c>
      <c r="P453" s="39"/>
      <c r="Q453" s="39"/>
      <c r="R453" s="39"/>
      <c r="S453" s="39"/>
      <c r="T453" s="39"/>
      <c r="U453" s="39"/>
      <c r="V453" s="39"/>
      <c r="W453" s="39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35" t="s">
        <v>28</v>
      </c>
      <c r="B454" s="35" t="s">
        <v>33</v>
      </c>
      <c r="C454" s="35" t="s">
        <v>23</v>
      </c>
      <c r="D454" s="35" t="s">
        <v>34</v>
      </c>
      <c r="E454" s="35" t="s">
        <v>25</v>
      </c>
      <c r="F454" s="35" t="s">
        <v>25</v>
      </c>
      <c r="G454" s="35" t="s">
        <v>25</v>
      </c>
      <c r="H454" s="35" t="s">
        <v>25</v>
      </c>
      <c r="I454" s="54">
        <v>44682</v>
      </c>
      <c r="J454" s="55">
        <f>EFEITO!$J$454*EFEITO!$Y$454</f>
        <v>0</v>
      </c>
      <c r="K454" s="55">
        <f ca="1">EFEITO!$L$454*EFEITO!$Z$454</f>
        <v>947.41002371097989</v>
      </c>
      <c r="L454" s="55">
        <f>EFEITO!$N$454*EFEITO!$AA$454</f>
        <v>401.43608394994482</v>
      </c>
      <c r="M454" s="55">
        <f>$J$454-EFEITO!$K$454*EFEITO!$Y$454</f>
        <v>0</v>
      </c>
      <c r="N454" s="55">
        <f ca="1">$K$454-EFEITO!$M$454*EFEITO!$Z$454</f>
        <v>0</v>
      </c>
      <c r="O454" s="55">
        <f>$L$454-EFEITO!$O$454*EFEITO!$AA$454</f>
        <v>0</v>
      </c>
      <c r="P454" s="39"/>
      <c r="Q454" s="39"/>
      <c r="R454" s="39"/>
      <c r="S454" s="39"/>
      <c r="T454" s="39"/>
      <c r="U454" s="39"/>
      <c r="V454" s="39"/>
      <c r="W454" s="39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35" t="s">
        <v>21</v>
      </c>
      <c r="B455" s="35" t="s">
        <v>33</v>
      </c>
      <c r="C455" s="35" t="s">
        <v>23</v>
      </c>
      <c r="D455" s="35" t="s">
        <v>34</v>
      </c>
      <c r="E455" s="35" t="s">
        <v>25</v>
      </c>
      <c r="F455" s="35" t="s">
        <v>25</v>
      </c>
      <c r="G455" s="35" t="s">
        <v>25</v>
      </c>
      <c r="H455" s="35" t="s">
        <v>25</v>
      </c>
      <c r="I455" s="54">
        <v>44713</v>
      </c>
      <c r="J455" s="55">
        <f>EFEITO!$J$455*EFEITO!$Y$455</f>
        <v>0</v>
      </c>
      <c r="K455" s="55">
        <f ca="1">EFEITO!$L$455*EFEITO!$Z$455</f>
        <v>11541.335780763688</v>
      </c>
      <c r="L455" s="55">
        <f>EFEITO!$N$455*EFEITO!$AA$455</f>
        <v>4890.2888120535072</v>
      </c>
      <c r="M455" s="55">
        <f>$J$455-EFEITO!$K$455*EFEITO!$Y$455</f>
        <v>0</v>
      </c>
      <c r="N455" s="55">
        <f ca="1">$K$455-EFEITO!$M$455*EFEITO!$Z$455</f>
        <v>0</v>
      </c>
      <c r="O455" s="55">
        <f>$L$455-EFEITO!$O$455*EFEITO!$AA$455</f>
        <v>0</v>
      </c>
      <c r="P455" s="39"/>
      <c r="Q455" s="39"/>
      <c r="R455" s="39"/>
      <c r="S455" s="39"/>
      <c r="T455" s="39"/>
      <c r="U455" s="39"/>
      <c r="V455" s="39"/>
      <c r="W455" s="39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35" t="s">
        <v>28</v>
      </c>
      <c r="B456" s="35" t="s">
        <v>33</v>
      </c>
      <c r="C456" s="35" t="s">
        <v>23</v>
      </c>
      <c r="D456" s="35" t="s">
        <v>34</v>
      </c>
      <c r="E456" s="35" t="s">
        <v>25</v>
      </c>
      <c r="F456" s="35" t="s">
        <v>25</v>
      </c>
      <c r="G456" s="35" t="s">
        <v>25</v>
      </c>
      <c r="H456" s="35" t="s">
        <v>25</v>
      </c>
      <c r="I456" s="54">
        <v>44713</v>
      </c>
      <c r="J456" s="55">
        <f>EFEITO!$J$456*EFEITO!$Y$456</f>
        <v>0</v>
      </c>
      <c r="K456" s="55">
        <f ca="1">EFEITO!$L$456*EFEITO!$Z$456</f>
        <v>974.10379343216687</v>
      </c>
      <c r="L456" s="55">
        <f>EFEITO!$N$456*EFEITO!$AA$456</f>
        <v>412.74675421366146</v>
      </c>
      <c r="M456" s="55">
        <f>$J$456-EFEITO!$K$456*EFEITO!$Y$456</f>
        <v>0</v>
      </c>
      <c r="N456" s="55">
        <f ca="1">$K$456-EFEITO!$M$456*EFEITO!$Z$456</f>
        <v>0</v>
      </c>
      <c r="O456" s="55">
        <f>$L$456-EFEITO!$O$456*EFEITO!$AA$456</f>
        <v>0</v>
      </c>
      <c r="P456" s="39"/>
      <c r="Q456" s="39"/>
      <c r="R456" s="39"/>
      <c r="S456" s="39"/>
      <c r="T456" s="39"/>
      <c r="U456" s="39"/>
      <c r="V456" s="39"/>
      <c r="W456" s="39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35" t="s">
        <v>21</v>
      </c>
      <c r="B457" s="35" t="s">
        <v>33</v>
      </c>
      <c r="C457" s="35" t="s">
        <v>23</v>
      </c>
      <c r="D457" s="35" t="s">
        <v>34</v>
      </c>
      <c r="E457" s="35" t="s">
        <v>25</v>
      </c>
      <c r="F457" s="35" t="s">
        <v>25</v>
      </c>
      <c r="G457" s="35" t="s">
        <v>25</v>
      </c>
      <c r="H457" s="35" t="s">
        <v>25</v>
      </c>
      <c r="I457" s="54">
        <v>44743</v>
      </c>
      <c r="J457" s="55">
        <f>EFEITO!$J$457*EFEITO!$Y$457</f>
        <v>0</v>
      </c>
      <c r="K457" s="55">
        <f ca="1">EFEITO!$L$457*EFEITO!$Z$457</f>
        <v>10091.557762955616</v>
      </c>
      <c r="L457" s="55">
        <f>EFEITO!$N$457*EFEITO!$AA$457</f>
        <v>4275.9896221568943</v>
      </c>
      <c r="M457" s="55">
        <f>$J$457-EFEITO!$K$457*EFEITO!$Y$457</f>
        <v>0</v>
      </c>
      <c r="N457" s="55">
        <f ca="1">$K$457-EFEITO!$M$457*EFEITO!$Z$457</f>
        <v>0</v>
      </c>
      <c r="O457" s="55">
        <f>$L$457-EFEITO!$O$457*EFEITO!$AA$457</f>
        <v>0</v>
      </c>
      <c r="P457" s="39"/>
      <c r="Q457" s="39"/>
      <c r="R457" s="39"/>
      <c r="S457" s="39"/>
      <c r="T457" s="39"/>
      <c r="U457" s="39"/>
      <c r="V457" s="39"/>
      <c r="W457" s="39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35" t="s">
        <v>28</v>
      </c>
      <c r="B458" s="35" t="s">
        <v>33</v>
      </c>
      <c r="C458" s="35" t="s">
        <v>23</v>
      </c>
      <c r="D458" s="35" t="s">
        <v>34</v>
      </c>
      <c r="E458" s="35" t="s">
        <v>25</v>
      </c>
      <c r="F458" s="35" t="s">
        <v>25</v>
      </c>
      <c r="G458" s="35" t="s">
        <v>25</v>
      </c>
      <c r="H458" s="35" t="s">
        <v>25</v>
      </c>
      <c r="I458" s="54">
        <v>44743</v>
      </c>
      <c r="J458" s="55">
        <f>EFEITO!$J$458*EFEITO!$Y$458</f>
        <v>0</v>
      </c>
      <c r="K458" s="55">
        <f ca="1">EFEITO!$L$458*EFEITO!$Z$458</f>
        <v>1372.3223253383987</v>
      </c>
      <c r="L458" s="55">
        <f>EFEITO!$N$458*EFEITO!$AA$458</f>
        <v>581.4797040494351</v>
      </c>
      <c r="M458" s="55">
        <f>$J$458-EFEITO!$K$458*EFEITO!$Y$458</f>
        <v>0</v>
      </c>
      <c r="N458" s="55">
        <f ca="1">$K$458-EFEITO!$M$458*EFEITO!$Z$458</f>
        <v>0</v>
      </c>
      <c r="O458" s="55">
        <f>$L$458-EFEITO!$O$458*EFEITO!$AA$458</f>
        <v>0</v>
      </c>
      <c r="P458" s="39"/>
      <c r="Q458" s="39"/>
      <c r="R458" s="39"/>
      <c r="S458" s="39"/>
      <c r="T458" s="39"/>
      <c r="U458" s="39"/>
      <c r="V458" s="39"/>
      <c r="W458" s="39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35" t="s">
        <v>21</v>
      </c>
      <c r="B459" s="35" t="s">
        <v>33</v>
      </c>
      <c r="C459" s="35" t="s">
        <v>23</v>
      </c>
      <c r="D459" s="35" t="s">
        <v>34</v>
      </c>
      <c r="E459" s="35" t="s">
        <v>25</v>
      </c>
      <c r="F459" s="35" t="s">
        <v>25</v>
      </c>
      <c r="G459" s="35" t="s">
        <v>25</v>
      </c>
      <c r="H459" s="35" t="s">
        <v>25</v>
      </c>
      <c r="I459" s="54">
        <v>44774</v>
      </c>
      <c r="J459" s="55">
        <f>EFEITO!$J$459*EFEITO!$Y$459</f>
        <v>0</v>
      </c>
      <c r="K459" s="55">
        <f ca="1">EFEITO!$L$459*EFEITO!$Z$459</f>
        <v>9724.4090285937164</v>
      </c>
      <c r="L459" s="55">
        <f>EFEITO!$N$459*EFEITO!$AA$459</f>
        <v>4120.4215508247917</v>
      </c>
      <c r="M459" s="55">
        <f>$J$459-EFEITO!$K$459*EFEITO!$Y$459</f>
        <v>0</v>
      </c>
      <c r="N459" s="55">
        <f ca="1">$K$459-EFEITO!$M$459*EFEITO!$Z$459</f>
        <v>0</v>
      </c>
      <c r="O459" s="55">
        <f>$L$459-EFEITO!$O$459*EFEITO!$AA$459</f>
        <v>0</v>
      </c>
      <c r="P459" s="39"/>
      <c r="Q459" s="39"/>
      <c r="R459" s="39"/>
      <c r="S459" s="39"/>
      <c r="T459" s="39"/>
      <c r="U459" s="39"/>
      <c r="V459" s="39"/>
      <c r="W459" s="39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35" t="s">
        <v>28</v>
      </c>
      <c r="B460" s="35" t="s">
        <v>33</v>
      </c>
      <c r="C460" s="35" t="s">
        <v>23</v>
      </c>
      <c r="D460" s="35" t="s">
        <v>34</v>
      </c>
      <c r="E460" s="35" t="s">
        <v>25</v>
      </c>
      <c r="F460" s="35" t="s">
        <v>25</v>
      </c>
      <c r="G460" s="35" t="s">
        <v>25</v>
      </c>
      <c r="H460" s="35" t="s">
        <v>25</v>
      </c>
      <c r="I460" s="54">
        <v>44774</v>
      </c>
      <c r="J460" s="55">
        <f>EFEITO!$J$460*EFEITO!$Y$460</f>
        <v>0</v>
      </c>
      <c r="K460" s="55">
        <f ca="1">EFEITO!$L$460*EFEITO!$Z$460</f>
        <v>1266.42245201828</v>
      </c>
      <c r="L460" s="55">
        <f>EFEITO!$N$460*EFEITO!$AA$460</f>
        <v>536.60786464255898</v>
      </c>
      <c r="M460" s="55">
        <f>$J$460-EFEITO!$K$460*EFEITO!$Y$460</f>
        <v>0</v>
      </c>
      <c r="N460" s="55">
        <f ca="1">$K$460-EFEITO!$M$460*EFEITO!$Z$460</f>
        <v>0</v>
      </c>
      <c r="O460" s="55">
        <f>$L$460-EFEITO!$O$460*EFEITO!$AA$460</f>
        <v>0</v>
      </c>
      <c r="P460" s="39"/>
      <c r="Q460" s="39"/>
      <c r="R460" s="39"/>
      <c r="S460" s="39"/>
      <c r="T460" s="39"/>
      <c r="U460" s="39"/>
      <c r="V460" s="39"/>
      <c r="W460" s="39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35" t="s">
        <v>21</v>
      </c>
      <c r="B461" s="35" t="s">
        <v>33</v>
      </c>
      <c r="C461" s="35" t="s">
        <v>23</v>
      </c>
      <c r="D461" s="35" t="s">
        <v>42</v>
      </c>
      <c r="E461" s="35" t="s">
        <v>25</v>
      </c>
      <c r="F461" s="35" t="s">
        <v>25</v>
      </c>
      <c r="G461" s="35" t="s">
        <v>25</v>
      </c>
      <c r="H461" s="35" t="s">
        <v>25</v>
      </c>
      <c r="I461" s="54">
        <v>44440</v>
      </c>
      <c r="J461" s="55">
        <f>EFEITO!$J$461*EFEITO!$Y$461</f>
        <v>0</v>
      </c>
      <c r="K461" s="55">
        <f ca="1">EFEITO!$L$461*EFEITO!$Z$461</f>
        <v>1180.2147039023155</v>
      </c>
      <c r="L461" s="55">
        <f>EFEITO!$N$461*EFEITO!$AA$461</f>
        <v>500.07996231547395</v>
      </c>
      <c r="M461" s="55">
        <f>$J$461-EFEITO!$K$461*EFEITO!$Y$461</f>
        <v>0</v>
      </c>
      <c r="N461" s="55">
        <f ca="1">$K$461-EFEITO!$M$461*EFEITO!$Z$461</f>
        <v>0</v>
      </c>
      <c r="O461" s="55">
        <f>$L$461-EFEITO!$O$461*EFEITO!$AA$461</f>
        <v>0</v>
      </c>
      <c r="P461" s="39"/>
      <c r="Q461" s="39"/>
      <c r="R461" s="39"/>
      <c r="S461" s="39"/>
      <c r="T461" s="39"/>
      <c r="U461" s="39"/>
      <c r="V461" s="39"/>
      <c r="W461" s="39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35" t="s">
        <v>21</v>
      </c>
      <c r="B462" s="35" t="s">
        <v>33</v>
      </c>
      <c r="C462" s="35" t="s">
        <v>23</v>
      </c>
      <c r="D462" s="35" t="s">
        <v>42</v>
      </c>
      <c r="E462" s="35" t="s">
        <v>25</v>
      </c>
      <c r="F462" s="35" t="s">
        <v>25</v>
      </c>
      <c r="G462" s="35" t="s">
        <v>25</v>
      </c>
      <c r="H462" s="35" t="s">
        <v>25</v>
      </c>
      <c r="I462" s="54">
        <v>44470</v>
      </c>
      <c r="J462" s="55">
        <f>EFEITO!$J$462*EFEITO!$Y$462</f>
        <v>0</v>
      </c>
      <c r="K462" s="55">
        <f ca="1">EFEITO!$L$462*EFEITO!$Z$462</f>
        <v>1543.8626160056986</v>
      </c>
      <c r="L462" s="55">
        <f>EFEITO!$N$462*EFEITO!$AA$462</f>
        <v>654.16466705561447</v>
      </c>
      <c r="M462" s="55">
        <f>$J$462-EFEITO!$K$462*EFEITO!$Y$462</f>
        <v>0</v>
      </c>
      <c r="N462" s="55">
        <f ca="1">$K$462-EFEITO!$M$462*EFEITO!$Z$462</f>
        <v>0</v>
      </c>
      <c r="O462" s="55">
        <f>$L$462-EFEITO!$O$462*EFEITO!$AA$462</f>
        <v>0</v>
      </c>
      <c r="P462" s="39"/>
      <c r="Q462" s="39"/>
      <c r="R462" s="39"/>
      <c r="S462" s="39"/>
      <c r="T462" s="39"/>
      <c r="U462" s="39"/>
      <c r="V462" s="39"/>
      <c r="W462" s="39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35" t="s">
        <v>21</v>
      </c>
      <c r="B463" s="35" t="s">
        <v>33</v>
      </c>
      <c r="C463" s="35" t="s">
        <v>23</v>
      </c>
      <c r="D463" s="35" t="s">
        <v>42</v>
      </c>
      <c r="E463" s="35" t="s">
        <v>25</v>
      </c>
      <c r="F463" s="35" t="s">
        <v>25</v>
      </c>
      <c r="G463" s="35" t="s">
        <v>25</v>
      </c>
      <c r="H463" s="35" t="s">
        <v>25</v>
      </c>
      <c r="I463" s="54">
        <v>44501</v>
      </c>
      <c r="J463" s="55">
        <f>EFEITO!$J$463*EFEITO!$Y$463</f>
        <v>0</v>
      </c>
      <c r="K463" s="55">
        <f ca="1">EFEITO!$L$463*EFEITO!$Z$463</f>
        <v>1419.5834258283692</v>
      </c>
      <c r="L463" s="55">
        <f>EFEITO!$N$463*EFEITO!$AA$463</f>
        <v>601.50515304093346</v>
      </c>
      <c r="M463" s="55">
        <f>$J$463-EFEITO!$K$463*EFEITO!$Y$463</f>
        <v>0</v>
      </c>
      <c r="N463" s="55">
        <f ca="1">$K$463-EFEITO!$M$463*EFEITO!$Z$463</f>
        <v>0</v>
      </c>
      <c r="O463" s="55">
        <f>$L$463-EFEITO!$O$463*EFEITO!$AA$463</f>
        <v>0</v>
      </c>
      <c r="P463" s="39"/>
      <c r="Q463" s="39"/>
      <c r="R463" s="39"/>
      <c r="S463" s="39"/>
      <c r="T463" s="39"/>
      <c r="U463" s="39"/>
      <c r="V463" s="39"/>
      <c r="W463" s="39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35" t="s">
        <v>21</v>
      </c>
      <c r="B464" s="35" t="s">
        <v>33</v>
      </c>
      <c r="C464" s="35" t="s">
        <v>23</v>
      </c>
      <c r="D464" s="35" t="s">
        <v>42</v>
      </c>
      <c r="E464" s="35" t="s">
        <v>25</v>
      </c>
      <c r="F464" s="35" t="s">
        <v>25</v>
      </c>
      <c r="G464" s="35" t="s">
        <v>25</v>
      </c>
      <c r="H464" s="35" t="s">
        <v>25</v>
      </c>
      <c r="I464" s="54">
        <v>44531</v>
      </c>
      <c r="J464" s="55">
        <f>EFEITO!$J$464*EFEITO!$Y$464</f>
        <v>0</v>
      </c>
      <c r="K464" s="55">
        <f ca="1">EFEITO!$L$464*EFEITO!$Z$464</f>
        <v>1888.6936084695562</v>
      </c>
      <c r="L464" s="55">
        <f>EFEITO!$N$464*EFEITO!$AA$464</f>
        <v>800.27627636395459</v>
      </c>
      <c r="M464" s="55">
        <f>$J$464-EFEITO!$K$464*EFEITO!$Y$464</f>
        <v>0</v>
      </c>
      <c r="N464" s="55">
        <f ca="1">$K$464-EFEITO!$M$464*EFEITO!$Z$464</f>
        <v>0</v>
      </c>
      <c r="O464" s="55">
        <f>$L$464-EFEITO!$O$464*EFEITO!$AA$464</f>
        <v>0</v>
      </c>
      <c r="P464" s="39"/>
      <c r="Q464" s="39"/>
      <c r="R464" s="39"/>
      <c r="S464" s="39"/>
      <c r="T464" s="39"/>
      <c r="U464" s="39"/>
      <c r="V464" s="39"/>
      <c r="W464" s="39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35" t="s">
        <v>21</v>
      </c>
      <c r="B465" s="35" t="s">
        <v>33</v>
      </c>
      <c r="C465" s="35" t="s">
        <v>23</v>
      </c>
      <c r="D465" s="35" t="s">
        <v>42</v>
      </c>
      <c r="E465" s="35" t="s">
        <v>25</v>
      </c>
      <c r="F465" s="35" t="s">
        <v>25</v>
      </c>
      <c r="G465" s="35" t="s">
        <v>25</v>
      </c>
      <c r="H465" s="35" t="s">
        <v>25</v>
      </c>
      <c r="I465" s="54">
        <v>44562</v>
      </c>
      <c r="J465" s="55">
        <f>EFEITO!$J$465*EFEITO!$Y$465</f>
        <v>0</v>
      </c>
      <c r="K465" s="55">
        <f ca="1">EFEITO!$L$465*EFEITO!$Z$465</f>
        <v>1451.5284289373305</v>
      </c>
      <c r="L465" s="55">
        <f>EFEITO!$N$465*EFEITO!$AA$465</f>
        <v>615.0408731925944</v>
      </c>
      <c r="M465" s="55">
        <f>$J$465-EFEITO!$K$465*EFEITO!$Y$465</f>
        <v>0</v>
      </c>
      <c r="N465" s="55">
        <f ca="1">$K$465-EFEITO!$M$465*EFEITO!$Z$465</f>
        <v>0</v>
      </c>
      <c r="O465" s="55">
        <f>$L$465-EFEITO!$O$465*EFEITO!$AA$465</f>
        <v>0</v>
      </c>
      <c r="P465" s="39"/>
      <c r="Q465" s="39"/>
      <c r="R465" s="39"/>
      <c r="S465" s="39"/>
      <c r="T465" s="39"/>
      <c r="U465" s="39"/>
      <c r="V465" s="39"/>
      <c r="W465" s="39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35" t="s">
        <v>21</v>
      </c>
      <c r="B466" s="35" t="s">
        <v>33</v>
      </c>
      <c r="C466" s="35" t="s">
        <v>23</v>
      </c>
      <c r="D466" s="35" t="s">
        <v>42</v>
      </c>
      <c r="E466" s="35" t="s">
        <v>25</v>
      </c>
      <c r="F466" s="35" t="s">
        <v>25</v>
      </c>
      <c r="G466" s="35" t="s">
        <v>25</v>
      </c>
      <c r="H466" s="35" t="s">
        <v>25</v>
      </c>
      <c r="I466" s="54">
        <v>44593</v>
      </c>
      <c r="J466" s="55">
        <f>EFEITO!$J$466*EFEITO!$Y$466</f>
        <v>0</v>
      </c>
      <c r="K466" s="55">
        <f ca="1">EFEITO!$L$466*EFEITO!$Z$466</f>
        <v>1515.4184351552533</v>
      </c>
      <c r="L466" s="55">
        <f>EFEITO!$N$466*EFEITO!$AA$466</f>
        <v>642.11231349591628</v>
      </c>
      <c r="M466" s="55">
        <f>$J$466-EFEITO!$K$466*EFEITO!$Y$466</f>
        <v>0</v>
      </c>
      <c r="N466" s="55">
        <f ca="1">$K$466-EFEITO!$M$466*EFEITO!$Z$466</f>
        <v>0</v>
      </c>
      <c r="O466" s="55">
        <f>$L$466-EFEITO!$O$466*EFEITO!$AA$466</f>
        <v>0</v>
      </c>
      <c r="P466" s="39"/>
      <c r="Q466" s="39"/>
      <c r="R466" s="39"/>
      <c r="S466" s="39"/>
      <c r="T466" s="39"/>
      <c r="U466" s="39"/>
      <c r="V466" s="39"/>
      <c r="W466" s="39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35" t="s">
        <v>21</v>
      </c>
      <c r="B467" s="35" t="s">
        <v>33</v>
      </c>
      <c r="C467" s="35" t="s">
        <v>23</v>
      </c>
      <c r="D467" s="35" t="s">
        <v>42</v>
      </c>
      <c r="E467" s="35" t="s">
        <v>25</v>
      </c>
      <c r="F467" s="35" t="s">
        <v>25</v>
      </c>
      <c r="G467" s="35" t="s">
        <v>25</v>
      </c>
      <c r="H467" s="35" t="s">
        <v>25</v>
      </c>
      <c r="I467" s="54">
        <v>44621</v>
      </c>
      <c r="J467" s="55">
        <f>EFEITO!$J$467*EFEITO!$Y$467</f>
        <v>0</v>
      </c>
      <c r="K467" s="55">
        <f ca="1">EFEITO!$L$467*EFEITO!$Z$467</f>
        <v>2300.9154294098535</v>
      </c>
      <c r="L467" s="55">
        <f>EFEITO!$N$467*EFEITO!$AA$467</f>
        <v>974.94269256757957</v>
      </c>
      <c r="M467" s="55">
        <f>$J$467-EFEITO!$K$467*EFEITO!$Y$467</f>
        <v>0</v>
      </c>
      <c r="N467" s="55">
        <f ca="1">$K$467-EFEITO!$M$467*EFEITO!$Z$467</f>
        <v>0</v>
      </c>
      <c r="O467" s="55">
        <f>$L$467-EFEITO!$O$467*EFEITO!$AA$467</f>
        <v>0</v>
      </c>
      <c r="P467" s="39"/>
      <c r="Q467" s="39"/>
      <c r="R467" s="39"/>
      <c r="S467" s="39"/>
      <c r="T467" s="39"/>
      <c r="U467" s="39"/>
      <c r="V467" s="39"/>
      <c r="W467" s="39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35" t="s">
        <v>21</v>
      </c>
      <c r="B468" s="35" t="s">
        <v>33</v>
      </c>
      <c r="C468" s="35" t="s">
        <v>23</v>
      </c>
      <c r="D468" s="35" t="s">
        <v>42</v>
      </c>
      <c r="E468" s="35" t="s">
        <v>25</v>
      </c>
      <c r="F468" s="35" t="s">
        <v>25</v>
      </c>
      <c r="G468" s="35" t="s">
        <v>25</v>
      </c>
      <c r="H468" s="35" t="s">
        <v>25</v>
      </c>
      <c r="I468" s="54">
        <v>44652</v>
      </c>
      <c r="J468" s="55">
        <f>EFEITO!$J$468*EFEITO!$Y$468</f>
        <v>0</v>
      </c>
      <c r="K468" s="55">
        <f ca="1">EFEITO!$L$468*EFEITO!$Z$468</f>
        <v>2442.6987308797643</v>
      </c>
      <c r="L468" s="55">
        <f>EFEITO!$N$468*EFEITO!$AA$468</f>
        <v>1035.0190395420748</v>
      </c>
      <c r="M468" s="55">
        <f>$J$468-EFEITO!$K$468*EFEITO!$Y$468</f>
        <v>0</v>
      </c>
      <c r="N468" s="55">
        <f ca="1">$K$468-EFEITO!$M$468*EFEITO!$Z$468</f>
        <v>0</v>
      </c>
      <c r="O468" s="55">
        <f>$L$468-EFEITO!$O$468*EFEITO!$AA$468</f>
        <v>0</v>
      </c>
      <c r="P468" s="39"/>
      <c r="Q468" s="39"/>
      <c r="R468" s="39"/>
      <c r="S468" s="39"/>
      <c r="T468" s="39"/>
      <c r="U468" s="39"/>
      <c r="V468" s="39"/>
      <c r="W468" s="39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35" t="s">
        <v>21</v>
      </c>
      <c r="B469" s="35" t="s">
        <v>33</v>
      </c>
      <c r="C469" s="35" t="s">
        <v>23</v>
      </c>
      <c r="D469" s="35" t="s">
        <v>42</v>
      </c>
      <c r="E469" s="35" t="s">
        <v>25</v>
      </c>
      <c r="F469" s="35" t="s">
        <v>25</v>
      </c>
      <c r="G469" s="35" t="s">
        <v>25</v>
      </c>
      <c r="H469" s="35" t="s">
        <v>25</v>
      </c>
      <c r="I469" s="54">
        <v>44682</v>
      </c>
      <c r="J469" s="55">
        <f>EFEITO!$J$469*EFEITO!$Y$469</f>
        <v>0</v>
      </c>
      <c r="K469" s="55">
        <f ca="1">EFEITO!$L$469*EFEITO!$Z$469</f>
        <v>2131.1255498718115</v>
      </c>
      <c r="L469" s="55">
        <f>EFEITO!$N$469*EFEITO!$AA$469</f>
        <v>902.99941285738157</v>
      </c>
      <c r="M469" s="55">
        <f>$J$469-EFEITO!$K$469*EFEITO!$Y$469</f>
        <v>0</v>
      </c>
      <c r="N469" s="55">
        <f ca="1">$K$469-EFEITO!$M$469*EFEITO!$Z$469</f>
        <v>0</v>
      </c>
      <c r="O469" s="55">
        <f>$L$469-EFEITO!$O$469*EFEITO!$AA$469</f>
        <v>0</v>
      </c>
      <c r="P469" s="39"/>
      <c r="Q469" s="39"/>
      <c r="R469" s="39"/>
      <c r="S469" s="39"/>
      <c r="T469" s="39"/>
      <c r="U469" s="39"/>
      <c r="V469" s="39"/>
      <c r="W469" s="39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35" t="s">
        <v>21</v>
      </c>
      <c r="B470" s="35" t="s">
        <v>33</v>
      </c>
      <c r="C470" s="35" t="s">
        <v>23</v>
      </c>
      <c r="D470" s="35" t="s">
        <v>42</v>
      </c>
      <c r="E470" s="35" t="s">
        <v>25</v>
      </c>
      <c r="F470" s="35" t="s">
        <v>25</v>
      </c>
      <c r="G470" s="35" t="s">
        <v>25</v>
      </c>
      <c r="H470" s="35" t="s">
        <v>25</v>
      </c>
      <c r="I470" s="54">
        <v>44713</v>
      </c>
      <c r="J470" s="55">
        <f>EFEITO!$J$470*EFEITO!$Y$470</f>
        <v>0</v>
      </c>
      <c r="K470" s="55">
        <f ca="1">EFEITO!$L$470*EFEITO!$Z$470</f>
        <v>1869.4390860477165</v>
      </c>
      <c r="L470" s="55">
        <f>EFEITO!$N$470*EFEITO!$AA$470</f>
        <v>792.11776010815902</v>
      </c>
      <c r="M470" s="55">
        <f>$J$470-EFEITO!$K$470*EFEITO!$Y$470</f>
        <v>0</v>
      </c>
      <c r="N470" s="55">
        <f ca="1">$K$470-EFEITO!$M$470*EFEITO!$Z$470</f>
        <v>0</v>
      </c>
      <c r="O470" s="55">
        <f>$L$470-EFEITO!$O$470*EFEITO!$AA$470</f>
        <v>0</v>
      </c>
      <c r="P470" s="39"/>
      <c r="Q470" s="39"/>
      <c r="R470" s="39"/>
      <c r="S470" s="39"/>
      <c r="T470" s="39"/>
      <c r="U470" s="39"/>
      <c r="V470" s="39"/>
      <c r="W470" s="39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35" t="s">
        <v>21</v>
      </c>
      <c r="B471" s="35" t="s">
        <v>33</v>
      </c>
      <c r="C471" s="35" t="s">
        <v>23</v>
      </c>
      <c r="D471" s="35" t="s">
        <v>42</v>
      </c>
      <c r="E471" s="35" t="s">
        <v>25</v>
      </c>
      <c r="F471" s="35" t="s">
        <v>25</v>
      </c>
      <c r="G471" s="35" t="s">
        <v>25</v>
      </c>
      <c r="H471" s="35" t="s">
        <v>25</v>
      </c>
      <c r="I471" s="54">
        <v>44743</v>
      </c>
      <c r="J471" s="55">
        <f>EFEITO!$J$471*EFEITO!$Y$471</f>
        <v>0</v>
      </c>
      <c r="K471" s="55">
        <f ca="1">EFEITO!$L$471*EFEITO!$Z$471</f>
        <v>1838.8068912856986</v>
      </c>
      <c r="L471" s="55">
        <f>EFEITO!$N$471*EFEITO!$AA$471</f>
        <v>779.13830242848405</v>
      </c>
      <c r="M471" s="55">
        <f>$J$471-EFEITO!$K$471*EFEITO!$Y$471</f>
        <v>0</v>
      </c>
      <c r="N471" s="55">
        <f ca="1">$K$471-EFEITO!$M$471*EFEITO!$Z$471</f>
        <v>0</v>
      </c>
      <c r="O471" s="55">
        <f>$L$471-EFEITO!$O$471*EFEITO!$AA$471</f>
        <v>0</v>
      </c>
      <c r="P471" s="39"/>
      <c r="Q471" s="39"/>
      <c r="R471" s="39"/>
      <c r="S471" s="39"/>
      <c r="T471" s="39"/>
      <c r="U471" s="39"/>
      <c r="V471" s="39"/>
      <c r="W471" s="39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35" t="s">
        <v>21</v>
      </c>
      <c r="B472" s="35" t="s">
        <v>33</v>
      </c>
      <c r="C472" s="35" t="s">
        <v>23</v>
      </c>
      <c r="D472" s="35" t="s">
        <v>42</v>
      </c>
      <c r="E472" s="35" t="s">
        <v>25</v>
      </c>
      <c r="F472" s="35" t="s">
        <v>25</v>
      </c>
      <c r="G472" s="35" t="s">
        <v>25</v>
      </c>
      <c r="H472" s="35" t="s">
        <v>25</v>
      </c>
      <c r="I472" s="54">
        <v>44774</v>
      </c>
      <c r="J472" s="55">
        <f>EFEITO!$J$472*EFEITO!$Y$472</f>
        <v>0</v>
      </c>
      <c r="K472" s="55">
        <f ca="1">EFEITO!$L$472*EFEITO!$Z$472</f>
        <v>1437.0875371209506</v>
      </c>
      <c r="L472" s="55">
        <f>EFEITO!$N$472*EFEITO!$AA$472</f>
        <v>608.92198600074767</v>
      </c>
      <c r="M472" s="55">
        <f>$J$472-EFEITO!$K$472*EFEITO!$Y$472</f>
        <v>0</v>
      </c>
      <c r="N472" s="55">
        <f ca="1">$K$472-EFEITO!$M$472*EFEITO!$Z$472</f>
        <v>0</v>
      </c>
      <c r="O472" s="55">
        <f>$L$472-EFEITO!$O$472*EFEITO!$AA$472</f>
        <v>0</v>
      </c>
      <c r="P472" s="39"/>
      <c r="Q472" s="39"/>
      <c r="R472" s="39"/>
      <c r="S472" s="39"/>
      <c r="T472" s="39"/>
      <c r="U472" s="39"/>
      <c r="V472" s="39"/>
      <c r="W472" s="39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35" t="s">
        <v>21</v>
      </c>
      <c r="B473" s="35" t="s">
        <v>33</v>
      </c>
      <c r="C473" s="35" t="s">
        <v>23</v>
      </c>
      <c r="D473" s="35" t="s">
        <v>47</v>
      </c>
      <c r="E473" s="35" t="s">
        <v>48</v>
      </c>
      <c r="F473" s="35" t="s">
        <v>25</v>
      </c>
      <c r="G473" s="35" t="s">
        <v>25</v>
      </c>
      <c r="H473" s="35" t="s">
        <v>25</v>
      </c>
      <c r="I473" s="54">
        <v>44440</v>
      </c>
      <c r="J473" s="55">
        <f>EFEITO!$J$473*EFEITO!$Y$472</f>
        <v>0</v>
      </c>
      <c r="K473" s="55">
        <f ca="1">EFEITO!$L$473*EFEITO!$Z$472</f>
        <v>7738.5676024503327</v>
      </c>
      <c r="L473" s="55">
        <f>EFEITO!$N$473*EFEITO!$AA$472</f>
        <v>3278.9818515338679</v>
      </c>
      <c r="M473" s="55">
        <f>$J$473-EFEITO!$K$473*EFEITO!$Y$473</f>
        <v>0</v>
      </c>
      <c r="N473" s="55">
        <f ca="1">$K$473-EFEITO!$M$473*EFEITO!$Z$473</f>
        <v>232.15702807351045</v>
      </c>
      <c r="O473" s="55">
        <f>$L$473-EFEITO!$O$473*EFEITO!$AA$473</f>
        <v>98.36945554601607</v>
      </c>
      <c r="P473" s="39"/>
      <c r="Q473" s="39"/>
      <c r="R473" s="39"/>
      <c r="S473" s="39"/>
      <c r="T473" s="39"/>
      <c r="U473" s="39"/>
      <c r="V473" s="39"/>
      <c r="W473" s="39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35" t="s">
        <v>21</v>
      </c>
      <c r="B474" s="35" t="s">
        <v>33</v>
      </c>
      <c r="C474" s="35" t="s">
        <v>23</v>
      </c>
      <c r="D474" s="35" t="s">
        <v>47</v>
      </c>
      <c r="E474" s="35" t="s">
        <v>48</v>
      </c>
      <c r="F474" s="35" t="s">
        <v>25</v>
      </c>
      <c r="G474" s="35" t="s">
        <v>25</v>
      </c>
      <c r="H474" s="35" t="s">
        <v>25</v>
      </c>
      <c r="I474" s="54">
        <v>44470</v>
      </c>
      <c r="J474" s="55">
        <f>EFEITO!$J$474*EFEITO!$Y$472</f>
        <v>0</v>
      </c>
      <c r="K474" s="55">
        <f ca="1">EFEITO!$L$474*EFEITO!$Z$472</f>
        <v>6715.4522973989369</v>
      </c>
      <c r="L474" s="55">
        <f>EFEITO!$N$474*EFEITO!$AA$472</f>
        <v>2845.4679650327266</v>
      </c>
      <c r="M474" s="55">
        <f>$J$474-EFEITO!$K$474*EFEITO!$Y$474</f>
        <v>0</v>
      </c>
      <c r="N474" s="55">
        <f ca="1">$K$474-EFEITO!$M$474*EFEITO!$Z$474</f>
        <v>201.46356892196854</v>
      </c>
      <c r="O474" s="55">
        <f>$L$474-EFEITO!$O$474*EFEITO!$AA$474</f>
        <v>85.364038950981922</v>
      </c>
      <c r="P474" s="39"/>
      <c r="Q474" s="39"/>
      <c r="R474" s="39"/>
      <c r="S474" s="39"/>
      <c r="T474" s="39"/>
      <c r="U474" s="39"/>
      <c r="V474" s="39"/>
      <c r="W474" s="39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35" t="s">
        <v>21</v>
      </c>
      <c r="B475" s="35" t="s">
        <v>33</v>
      </c>
      <c r="C475" s="35" t="s">
        <v>23</v>
      </c>
      <c r="D475" s="35" t="s">
        <v>47</v>
      </c>
      <c r="E475" s="35" t="s">
        <v>48</v>
      </c>
      <c r="F475" s="35" t="s">
        <v>25</v>
      </c>
      <c r="G475" s="35" t="s">
        <v>25</v>
      </c>
      <c r="H475" s="35" t="s">
        <v>25</v>
      </c>
      <c r="I475" s="54">
        <v>44501</v>
      </c>
      <c r="J475" s="55">
        <f>EFEITO!$J$475*EFEITO!$Y$472</f>
        <v>0</v>
      </c>
      <c r="K475" s="55">
        <f ca="1">EFEITO!$L$475*EFEITO!$Z$472</f>
        <v>6481.3348088606572</v>
      </c>
      <c r="L475" s="55">
        <f>EFEITO!$N$475*EFEITO!$AA$472</f>
        <v>2746.2678241952112</v>
      </c>
      <c r="M475" s="55">
        <f>$J$475-EFEITO!$K$475*EFEITO!$Y$475</f>
        <v>0</v>
      </c>
      <c r="N475" s="55">
        <f ca="1">$K$475-EFEITO!$M$475*EFEITO!$Z$475</f>
        <v>194.44004426581887</v>
      </c>
      <c r="O475" s="55">
        <f>$L$475-EFEITO!$O$475*EFEITO!$AA$475</f>
        <v>82.388034725856414</v>
      </c>
      <c r="P475" s="39"/>
      <c r="Q475" s="39"/>
      <c r="R475" s="39"/>
      <c r="S475" s="39"/>
      <c r="T475" s="39"/>
      <c r="U475" s="39"/>
      <c r="V475" s="39"/>
      <c r="W475" s="39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35" t="s">
        <v>21</v>
      </c>
      <c r="B476" s="35" t="s">
        <v>33</v>
      </c>
      <c r="C476" s="35" t="s">
        <v>23</v>
      </c>
      <c r="D476" s="35" t="s">
        <v>47</v>
      </c>
      <c r="E476" s="35" t="s">
        <v>48</v>
      </c>
      <c r="F476" s="35" t="s">
        <v>25</v>
      </c>
      <c r="G476" s="35" t="s">
        <v>25</v>
      </c>
      <c r="H476" s="35" t="s">
        <v>25</v>
      </c>
      <c r="I476" s="54">
        <v>44531</v>
      </c>
      <c r="J476" s="55">
        <f>EFEITO!$J$476*EFEITO!$Y$472</f>
        <v>0</v>
      </c>
      <c r="K476" s="55">
        <f ca="1">EFEITO!$L$476*EFEITO!$Z$472</f>
        <v>7179.7488494346644</v>
      </c>
      <c r="L476" s="55">
        <f>EFEITO!$N$476*EFEITO!$AA$472</f>
        <v>3042.1994592917986</v>
      </c>
      <c r="M476" s="55">
        <f>$J$476-EFEITO!$K$476*EFEITO!$Y$476</f>
        <v>0</v>
      </c>
      <c r="N476" s="55">
        <f ca="1">$K$476-EFEITO!$M$476*EFEITO!$Z$476</f>
        <v>215.39246548303981</v>
      </c>
      <c r="O476" s="55">
        <f>$L$476-EFEITO!$O$476*EFEITO!$AA$476</f>
        <v>91.265983778754162</v>
      </c>
      <c r="P476" s="39"/>
      <c r="Q476" s="39"/>
      <c r="R476" s="39"/>
      <c r="S476" s="39"/>
      <c r="T476" s="39"/>
      <c r="U476" s="39"/>
      <c r="V476" s="39"/>
      <c r="W476" s="39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35" t="s">
        <v>21</v>
      </c>
      <c r="B477" s="35" t="s">
        <v>33</v>
      </c>
      <c r="C477" s="35" t="s">
        <v>23</v>
      </c>
      <c r="D477" s="35" t="s">
        <v>47</v>
      </c>
      <c r="E477" s="35" t="s">
        <v>48</v>
      </c>
      <c r="F477" s="35" t="s">
        <v>25</v>
      </c>
      <c r="G477" s="35" t="s">
        <v>25</v>
      </c>
      <c r="H477" s="35" t="s">
        <v>25</v>
      </c>
      <c r="I477" s="54">
        <v>44562</v>
      </c>
      <c r="J477" s="55">
        <f>EFEITO!$J$477*EFEITO!$Y$472</f>
        <v>0</v>
      </c>
      <c r="K477" s="55">
        <f ca="1">EFEITO!$L$477*EFEITO!$Z$472</f>
        <v>7042.7791785702129</v>
      </c>
      <c r="L477" s="55">
        <f>EFEITO!$N$477*EFEITO!$AA$472</f>
        <v>2984.1627413812525</v>
      </c>
      <c r="M477" s="55">
        <f>$J$477-EFEITO!$K$477*EFEITO!$Y$477</f>
        <v>0</v>
      </c>
      <c r="N477" s="55">
        <f ca="1">$K$477-EFEITO!$M$477*EFEITO!$Z$477</f>
        <v>211.2833753571058</v>
      </c>
      <c r="O477" s="55">
        <f>$L$477-EFEITO!$O$477*EFEITO!$AA$477</f>
        <v>89.524882241437808</v>
      </c>
      <c r="P477" s="39"/>
      <c r="Q477" s="39"/>
      <c r="R477" s="39"/>
      <c r="S477" s="39"/>
      <c r="T477" s="39"/>
      <c r="U477" s="39"/>
      <c r="V477" s="39"/>
      <c r="W477" s="39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35" t="s">
        <v>21</v>
      </c>
      <c r="B478" s="35" t="s">
        <v>33</v>
      </c>
      <c r="C478" s="35" t="s">
        <v>23</v>
      </c>
      <c r="D478" s="35" t="s">
        <v>47</v>
      </c>
      <c r="E478" s="35" t="s">
        <v>48</v>
      </c>
      <c r="F478" s="35" t="s">
        <v>25</v>
      </c>
      <c r="G478" s="35" t="s">
        <v>25</v>
      </c>
      <c r="H478" s="35" t="s">
        <v>25</v>
      </c>
      <c r="I478" s="54">
        <v>44593</v>
      </c>
      <c r="J478" s="55">
        <f>EFEITO!$J$478*EFEITO!$Y$472</f>
        <v>0</v>
      </c>
      <c r="K478" s="55">
        <f ca="1">EFEITO!$L$478*EFEITO!$Z$472</f>
        <v>7580.5929980347828</v>
      </c>
      <c r="L478" s="55">
        <f>EFEITO!$N$478*EFEITO!$AA$472</f>
        <v>3212.0449340715445</v>
      </c>
      <c r="M478" s="55">
        <f>$J$478-EFEITO!$K$478*EFEITO!$Y$478</f>
        <v>0</v>
      </c>
      <c r="N478" s="55">
        <f ca="1">$K$478-EFEITO!$M$478*EFEITO!$Z$478</f>
        <v>227.41778994104334</v>
      </c>
      <c r="O478" s="55">
        <f>$L$478-EFEITO!$O$478*EFEITO!$AA$478</f>
        <v>96.361348022146558</v>
      </c>
      <c r="P478" s="39"/>
      <c r="Q478" s="39"/>
      <c r="R478" s="39"/>
      <c r="S478" s="39"/>
      <c r="T478" s="39"/>
      <c r="U478" s="39"/>
      <c r="V478" s="39"/>
      <c r="W478" s="39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35" t="s">
        <v>21</v>
      </c>
      <c r="B479" s="35" t="s">
        <v>33</v>
      </c>
      <c r="C479" s="35" t="s">
        <v>23</v>
      </c>
      <c r="D479" s="35" t="s">
        <v>47</v>
      </c>
      <c r="E479" s="35" t="s">
        <v>48</v>
      </c>
      <c r="F479" s="35" t="s">
        <v>25</v>
      </c>
      <c r="G479" s="35" t="s">
        <v>25</v>
      </c>
      <c r="H479" s="35" t="s">
        <v>25</v>
      </c>
      <c r="I479" s="54">
        <v>44621</v>
      </c>
      <c r="J479" s="55">
        <f>EFEITO!$J$479*EFEITO!$Y$472</f>
        <v>0</v>
      </c>
      <c r="K479" s="55">
        <f ca="1">EFEITO!$L$479*EFEITO!$Z$472</f>
        <v>7777.0766472940113</v>
      </c>
      <c r="L479" s="55">
        <f>EFEITO!$N$479*EFEITO!$AA$472</f>
        <v>3295.2988840454586</v>
      </c>
      <c r="M479" s="55">
        <f>$J$479-EFEITO!$K$479*EFEITO!$Y$479</f>
        <v>0</v>
      </c>
      <c r="N479" s="55">
        <f ca="1">$K$479-EFEITO!$M$479*EFEITO!$Z$479</f>
        <v>233.31229941882066</v>
      </c>
      <c r="O479" s="55">
        <f>$L$479-EFEITO!$O$479*EFEITO!$AA$479</f>
        <v>98.858966521363982</v>
      </c>
      <c r="P479" s="39"/>
      <c r="Q479" s="39"/>
      <c r="R479" s="39"/>
      <c r="S479" s="39"/>
      <c r="T479" s="39"/>
      <c r="U479" s="39"/>
      <c r="V479" s="39"/>
      <c r="W479" s="39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35" t="s">
        <v>21</v>
      </c>
      <c r="B480" s="35" t="s">
        <v>33</v>
      </c>
      <c r="C480" s="35" t="s">
        <v>23</v>
      </c>
      <c r="D480" s="35" t="s">
        <v>47</v>
      </c>
      <c r="E480" s="35" t="s">
        <v>48</v>
      </c>
      <c r="F480" s="35" t="s">
        <v>25</v>
      </c>
      <c r="G480" s="35" t="s">
        <v>25</v>
      </c>
      <c r="H480" s="35" t="s">
        <v>25</v>
      </c>
      <c r="I480" s="54">
        <v>44652</v>
      </c>
      <c r="J480" s="55">
        <f>EFEITO!$J$480*EFEITO!$Y$472</f>
        <v>0</v>
      </c>
      <c r="K480" s="55">
        <f ca="1">EFEITO!$L$480*EFEITO!$Z$472</f>
        <v>6912.8111522227946</v>
      </c>
      <c r="L480" s="55">
        <f>EFEITO!$N$480*EFEITO!$AA$472</f>
        <v>2929.092756654632</v>
      </c>
      <c r="M480" s="55">
        <f>$J$480-EFEITO!$K$480*EFEITO!$Y$480</f>
        <v>0</v>
      </c>
      <c r="N480" s="55">
        <f ca="1">$K$480-EFEITO!$M$480*EFEITO!$Z$480</f>
        <v>207.38433456668372</v>
      </c>
      <c r="O480" s="55">
        <f>$L$480-EFEITO!$O$480*EFEITO!$AA$480</f>
        <v>87.872782699639174</v>
      </c>
      <c r="P480" s="39"/>
      <c r="Q480" s="39"/>
      <c r="R480" s="39"/>
      <c r="S480" s="39"/>
      <c r="T480" s="39"/>
      <c r="U480" s="39"/>
      <c r="V480" s="39"/>
      <c r="W480" s="39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35" t="s">
        <v>21</v>
      </c>
      <c r="B481" s="35" t="s">
        <v>33</v>
      </c>
      <c r="C481" s="35" t="s">
        <v>23</v>
      </c>
      <c r="D481" s="35" t="s">
        <v>47</v>
      </c>
      <c r="E481" s="35" t="s">
        <v>48</v>
      </c>
      <c r="F481" s="35" t="s">
        <v>25</v>
      </c>
      <c r="G481" s="35" t="s">
        <v>25</v>
      </c>
      <c r="H481" s="35" t="s">
        <v>25</v>
      </c>
      <c r="I481" s="54">
        <v>44682</v>
      </c>
      <c r="J481" s="55">
        <f>EFEITO!$J$481*EFEITO!$Y$472</f>
        <v>0</v>
      </c>
      <c r="K481" s="55">
        <f ca="1">EFEITO!$L$481*EFEITO!$Z$472</f>
        <v>7188.5009050809549</v>
      </c>
      <c r="L481" s="55">
        <f>EFEITO!$N$481*EFEITO!$AA$472</f>
        <v>3045.9078757717057</v>
      </c>
      <c r="M481" s="55">
        <f>$J$481-EFEITO!$K$481*EFEITO!$Y$481</f>
        <v>0</v>
      </c>
      <c r="N481" s="55">
        <f ca="1">$K$481-EFEITO!$M$481*EFEITO!$Z$481</f>
        <v>215.65502715242928</v>
      </c>
      <c r="O481" s="55">
        <f>$L$481-EFEITO!$O$481*EFEITO!$AA$481</f>
        <v>91.377236273151084</v>
      </c>
      <c r="P481" s="39"/>
      <c r="Q481" s="39"/>
      <c r="R481" s="39"/>
      <c r="S481" s="39"/>
      <c r="T481" s="39"/>
      <c r="U481" s="39"/>
      <c r="V481" s="39"/>
      <c r="W481" s="39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35" t="s">
        <v>21</v>
      </c>
      <c r="B482" s="35" t="s">
        <v>33</v>
      </c>
      <c r="C482" s="35" t="s">
        <v>23</v>
      </c>
      <c r="D482" s="35" t="s">
        <v>47</v>
      </c>
      <c r="E482" s="35" t="s">
        <v>48</v>
      </c>
      <c r="F482" s="35" t="s">
        <v>25</v>
      </c>
      <c r="G482" s="35" t="s">
        <v>25</v>
      </c>
      <c r="H482" s="35" t="s">
        <v>25</v>
      </c>
      <c r="I482" s="54">
        <v>44713</v>
      </c>
      <c r="J482" s="55">
        <f>EFEITO!$J$482*EFEITO!$Y$472</f>
        <v>0</v>
      </c>
      <c r="K482" s="55">
        <f ca="1">EFEITO!$L$482*EFEITO!$Z$472</f>
        <v>7535.0823086740711</v>
      </c>
      <c r="L482" s="55">
        <f>EFEITO!$N$482*EFEITO!$AA$472</f>
        <v>3192.7611683760279</v>
      </c>
      <c r="M482" s="55">
        <f>$J$482-EFEITO!$K$482*EFEITO!$Y$482</f>
        <v>0</v>
      </c>
      <c r="N482" s="55">
        <f ca="1">$K$482-EFEITO!$M$482*EFEITO!$Z$482</f>
        <v>226.0524692602221</v>
      </c>
      <c r="O482" s="55">
        <f>$L$482-EFEITO!$O$482*EFEITO!$AA$482</f>
        <v>95.782835051281381</v>
      </c>
      <c r="P482" s="39"/>
      <c r="Q482" s="39"/>
      <c r="R482" s="39"/>
      <c r="S482" s="39"/>
      <c r="T482" s="39"/>
      <c r="U482" s="39"/>
      <c r="V482" s="39"/>
      <c r="W482" s="39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35" t="s">
        <v>21</v>
      </c>
      <c r="B483" s="35" t="s">
        <v>33</v>
      </c>
      <c r="C483" s="35" t="s">
        <v>23</v>
      </c>
      <c r="D483" s="35" t="s">
        <v>47</v>
      </c>
      <c r="E483" s="35" t="s">
        <v>48</v>
      </c>
      <c r="F483" s="35" t="s">
        <v>25</v>
      </c>
      <c r="G483" s="35" t="s">
        <v>25</v>
      </c>
      <c r="H483" s="35" t="s">
        <v>25</v>
      </c>
      <c r="I483" s="54">
        <v>44743</v>
      </c>
      <c r="J483" s="55">
        <f>EFEITO!$J$483*EFEITO!$Y$472</f>
        <v>0</v>
      </c>
      <c r="K483" s="55">
        <f ca="1">EFEITO!$L$483*EFEITO!$Z$472</f>
        <v>7356.5403734897382</v>
      </c>
      <c r="L483" s="55">
        <f>EFEITO!$N$483*EFEITO!$AA$472</f>
        <v>3117.1094721859222</v>
      </c>
      <c r="M483" s="55">
        <f>$J$483-EFEITO!$K$483*EFEITO!$Y$483</f>
        <v>0</v>
      </c>
      <c r="N483" s="55">
        <f ca="1">$K$483-EFEITO!$M$483*EFEITO!$Z$483</f>
        <v>220.69621120469219</v>
      </c>
      <c r="O483" s="55">
        <f>$L$483-EFEITO!$O$483*EFEITO!$AA$483</f>
        <v>93.513284165577716</v>
      </c>
      <c r="P483" s="39"/>
      <c r="Q483" s="39"/>
      <c r="R483" s="39"/>
      <c r="S483" s="39"/>
      <c r="T483" s="39"/>
      <c r="U483" s="39"/>
      <c r="V483" s="39"/>
      <c r="W483" s="39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35" t="s">
        <v>21</v>
      </c>
      <c r="B484" s="35" t="s">
        <v>33</v>
      </c>
      <c r="C484" s="35" t="s">
        <v>23</v>
      </c>
      <c r="D484" s="35" t="s">
        <v>47</v>
      </c>
      <c r="E484" s="35" t="s">
        <v>48</v>
      </c>
      <c r="F484" s="35" t="s">
        <v>25</v>
      </c>
      <c r="G484" s="35" t="s">
        <v>25</v>
      </c>
      <c r="H484" s="35" t="s">
        <v>25</v>
      </c>
      <c r="I484" s="54">
        <v>44774</v>
      </c>
      <c r="J484" s="55">
        <f>EFEITO!$J$484*EFEITO!$Y$472</f>
        <v>0</v>
      </c>
      <c r="K484" s="55">
        <f ca="1">EFEITO!$L$484*EFEITO!$Z$472</f>
        <v>7781.8902778994725</v>
      </c>
      <c r="L484" s="55">
        <f>EFEITO!$N$484*EFEITO!$AA$472</f>
        <v>3297.3385131094083</v>
      </c>
      <c r="M484" s="55">
        <f>$J$484-EFEITO!$K$484*EFEITO!$Y$484</f>
        <v>0</v>
      </c>
      <c r="N484" s="55">
        <f ca="1">$K$484-EFEITO!$M$484*EFEITO!$Z$484</f>
        <v>233.45670833698478</v>
      </c>
      <c r="O484" s="55">
        <f>$L$484-EFEITO!$O$484*EFEITO!$AA$484</f>
        <v>98.920155393282585</v>
      </c>
      <c r="P484" s="39"/>
      <c r="Q484" s="39"/>
      <c r="R484" s="39"/>
      <c r="S484" s="39"/>
      <c r="T484" s="39"/>
      <c r="U484" s="39"/>
      <c r="V484" s="39"/>
      <c r="W484" s="39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35" t="s">
        <v>21</v>
      </c>
      <c r="B485" s="35" t="s">
        <v>43</v>
      </c>
      <c r="C485" s="35" t="s">
        <v>23</v>
      </c>
      <c r="D485" s="35" t="s">
        <v>44</v>
      </c>
      <c r="E485" s="35" t="s">
        <v>45</v>
      </c>
      <c r="F485" s="35" t="s">
        <v>25</v>
      </c>
      <c r="G485" s="35" t="s">
        <v>25</v>
      </c>
      <c r="H485" s="35" t="s">
        <v>25</v>
      </c>
      <c r="I485" s="54">
        <v>44440</v>
      </c>
      <c r="J485" s="55">
        <f>EFEITO!$J$485*EFEITO!$Y$485</f>
        <v>0</v>
      </c>
      <c r="K485" s="55">
        <f ca="1">EFEITO!$L$485*EFEITO!$Z$485</f>
        <v>15301.568968636069</v>
      </c>
      <c r="L485" s="55">
        <f>EFEITO!$N$485*EFEITO!$AA$485</f>
        <v>6483.5728684807991</v>
      </c>
      <c r="M485" s="55">
        <f>$J$485-EFEITO!$K$485*EFEITO!$Y$485</f>
        <v>0</v>
      </c>
      <c r="N485" s="55">
        <f ca="1">$K$485-EFEITO!$M$485*EFEITO!$Z$485</f>
        <v>0</v>
      </c>
      <c r="O485" s="55">
        <f>$L$485-EFEITO!$O$485*EFEITO!$AA$485</f>
        <v>0</v>
      </c>
      <c r="P485" s="39"/>
      <c r="Q485" s="39"/>
      <c r="R485" s="39"/>
      <c r="S485" s="39"/>
      <c r="T485" s="39"/>
      <c r="U485" s="39"/>
      <c r="V485" s="39"/>
      <c r="W485" s="39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35" t="s">
        <v>21</v>
      </c>
      <c r="B486" s="35" t="s">
        <v>43</v>
      </c>
      <c r="C486" s="35" t="s">
        <v>23</v>
      </c>
      <c r="D486" s="35" t="s">
        <v>44</v>
      </c>
      <c r="E486" s="35" t="s">
        <v>45</v>
      </c>
      <c r="F486" s="35" t="s">
        <v>25</v>
      </c>
      <c r="G486" s="35" t="s">
        <v>25</v>
      </c>
      <c r="H486" s="35" t="s">
        <v>25</v>
      </c>
      <c r="I486" s="54">
        <v>44470</v>
      </c>
      <c r="J486" s="55">
        <f>EFEITO!$J$486*EFEITO!$Y$486</f>
        <v>0</v>
      </c>
      <c r="K486" s="55">
        <f ca="1">EFEITO!$L$486*EFEITO!$Z$486</f>
        <v>15761.992736048313</v>
      </c>
      <c r="L486" s="55">
        <f>EFEITO!$N$486*EFEITO!$AA$486</f>
        <v>6678.6633884475132</v>
      </c>
      <c r="M486" s="55">
        <f>$J$486-EFEITO!$K$486*EFEITO!$Y$486</f>
        <v>0</v>
      </c>
      <c r="N486" s="55">
        <f ca="1">$K$486-EFEITO!$M$486*EFEITO!$Z$486</f>
        <v>0</v>
      </c>
      <c r="O486" s="55">
        <f>$L$486-EFEITO!$O$486*EFEITO!$AA$486</f>
        <v>0</v>
      </c>
      <c r="P486" s="39"/>
      <c r="Q486" s="39"/>
      <c r="R486" s="39"/>
      <c r="S486" s="39"/>
      <c r="T486" s="39"/>
      <c r="U486" s="39"/>
      <c r="V486" s="39"/>
      <c r="W486" s="39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35" t="s">
        <v>21</v>
      </c>
      <c r="B487" s="35" t="s">
        <v>43</v>
      </c>
      <c r="C487" s="35" t="s">
        <v>23</v>
      </c>
      <c r="D487" s="35" t="s">
        <v>44</v>
      </c>
      <c r="E487" s="35" t="s">
        <v>45</v>
      </c>
      <c r="F487" s="35" t="s">
        <v>25</v>
      </c>
      <c r="G487" s="35" t="s">
        <v>25</v>
      </c>
      <c r="H487" s="35" t="s">
        <v>25</v>
      </c>
      <c r="I487" s="54">
        <v>44501</v>
      </c>
      <c r="J487" s="55">
        <f>EFEITO!$J$487*EFEITO!$Y$487</f>
        <v>0</v>
      </c>
      <c r="K487" s="55">
        <f ca="1">EFEITO!$L$487*EFEITO!$Z$487</f>
        <v>15666.682850060206</v>
      </c>
      <c r="L487" s="55">
        <f>EFEITO!$N$487*EFEITO!$AA$487</f>
        <v>6638.2787329813245</v>
      </c>
      <c r="M487" s="55">
        <f>$J$487-EFEITO!$K$487*EFEITO!$Y$487</f>
        <v>0</v>
      </c>
      <c r="N487" s="55">
        <f ca="1">$K$487-EFEITO!$M$487*EFEITO!$Z$487</f>
        <v>0</v>
      </c>
      <c r="O487" s="55">
        <f>$L$487-EFEITO!$O$487*EFEITO!$AA$487</f>
        <v>0</v>
      </c>
      <c r="P487" s="39"/>
      <c r="Q487" s="39"/>
      <c r="R487" s="39"/>
      <c r="S487" s="39"/>
      <c r="T487" s="39"/>
      <c r="U487" s="39"/>
      <c r="V487" s="39"/>
      <c r="W487" s="39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35" t="s">
        <v>21</v>
      </c>
      <c r="B488" s="35" t="s">
        <v>43</v>
      </c>
      <c r="C488" s="35" t="s">
        <v>23</v>
      </c>
      <c r="D488" s="35" t="s">
        <v>44</v>
      </c>
      <c r="E488" s="35" t="s">
        <v>45</v>
      </c>
      <c r="F488" s="35" t="s">
        <v>25</v>
      </c>
      <c r="G488" s="35" t="s">
        <v>25</v>
      </c>
      <c r="H488" s="35" t="s">
        <v>25</v>
      </c>
      <c r="I488" s="54">
        <v>44531</v>
      </c>
      <c r="J488" s="55">
        <f>EFEITO!$J$488*EFEITO!$Y$488</f>
        <v>0</v>
      </c>
      <c r="K488" s="55">
        <f ca="1">EFEITO!$L$488*EFEITO!$Z$488</f>
        <v>16066.9362349042</v>
      </c>
      <c r="L488" s="55">
        <f>EFEITO!$N$488*EFEITO!$AA$488</f>
        <v>6807.8738896486757</v>
      </c>
      <c r="M488" s="55">
        <f>$J$488-EFEITO!$K$488*EFEITO!$Y$488</f>
        <v>0</v>
      </c>
      <c r="N488" s="55">
        <f ca="1">$K$488-EFEITO!$M$488*EFEITO!$Z$488</f>
        <v>0</v>
      </c>
      <c r="O488" s="55">
        <f>$L$488-EFEITO!$O$488*EFEITO!$AA$488</f>
        <v>0</v>
      </c>
      <c r="P488" s="39"/>
      <c r="Q488" s="39"/>
      <c r="R488" s="39"/>
      <c r="S488" s="39"/>
      <c r="T488" s="39"/>
      <c r="U488" s="39"/>
      <c r="V488" s="39"/>
      <c r="W488" s="39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35" t="s">
        <v>21</v>
      </c>
      <c r="B489" s="35" t="s">
        <v>43</v>
      </c>
      <c r="C489" s="35" t="s">
        <v>23</v>
      </c>
      <c r="D489" s="35" t="s">
        <v>44</v>
      </c>
      <c r="E489" s="35" t="s">
        <v>45</v>
      </c>
      <c r="F489" s="35" t="s">
        <v>25</v>
      </c>
      <c r="G489" s="35" t="s">
        <v>25</v>
      </c>
      <c r="H489" s="35" t="s">
        <v>25</v>
      </c>
      <c r="I489" s="54">
        <v>44562</v>
      </c>
      <c r="J489" s="55">
        <f>EFEITO!$J$489*EFEITO!$Y$489</f>
        <v>0</v>
      </c>
      <c r="K489" s="55">
        <f ca="1">EFEITO!$L$489*EFEITO!$Z$489</f>
        <v>15992.324960519571</v>
      </c>
      <c r="L489" s="55">
        <f>EFEITO!$N$489*EFEITO!$AA$489</f>
        <v>6776.2596391574671</v>
      </c>
      <c r="M489" s="55">
        <f>$J$489-EFEITO!$K$489*EFEITO!$Y$489</f>
        <v>0</v>
      </c>
      <c r="N489" s="55">
        <f ca="1">$K$489-EFEITO!$M$489*EFEITO!$Z$489</f>
        <v>0</v>
      </c>
      <c r="O489" s="55">
        <f>$L$489-EFEITO!$O$489*EFEITO!$AA$489</f>
        <v>0</v>
      </c>
      <c r="P489" s="39"/>
      <c r="Q489" s="39"/>
      <c r="R489" s="39"/>
      <c r="S489" s="39"/>
      <c r="T489" s="39"/>
      <c r="U489" s="39"/>
      <c r="V489" s="39"/>
      <c r="W489" s="39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35" t="s">
        <v>21</v>
      </c>
      <c r="B490" s="35" t="s">
        <v>43</v>
      </c>
      <c r="C490" s="35" t="s">
        <v>23</v>
      </c>
      <c r="D490" s="35" t="s">
        <v>44</v>
      </c>
      <c r="E490" s="35" t="s">
        <v>45</v>
      </c>
      <c r="F490" s="35" t="s">
        <v>25</v>
      </c>
      <c r="G490" s="35" t="s">
        <v>25</v>
      </c>
      <c r="H490" s="35" t="s">
        <v>25</v>
      </c>
      <c r="I490" s="54">
        <v>44593</v>
      </c>
      <c r="J490" s="55">
        <f>EFEITO!$J$490*EFEITO!$Y$490</f>
        <v>0</v>
      </c>
      <c r="K490" s="55">
        <f ca="1">EFEITO!$L$490*EFEITO!$Z$490</f>
        <v>14527.777848808382</v>
      </c>
      <c r="L490" s="55">
        <f>EFEITO!$N$490*EFEITO!$AA$490</f>
        <v>6155.702496451011</v>
      </c>
      <c r="M490" s="55">
        <f>$J$490-EFEITO!$K$490*EFEITO!$Y$490</f>
        <v>0</v>
      </c>
      <c r="N490" s="55">
        <f ca="1">$K$490-EFEITO!$M$490*EFEITO!$Z$490</f>
        <v>0</v>
      </c>
      <c r="O490" s="55">
        <f>$L$490-EFEITO!$O$490*EFEITO!$AA$490</f>
        <v>0</v>
      </c>
      <c r="P490" s="39"/>
      <c r="Q490" s="39"/>
      <c r="R490" s="39"/>
      <c r="S490" s="39"/>
      <c r="T490" s="39"/>
      <c r="U490" s="39"/>
      <c r="V490" s="39"/>
      <c r="W490" s="39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35" t="s">
        <v>21</v>
      </c>
      <c r="B491" s="35" t="s">
        <v>43</v>
      </c>
      <c r="C491" s="35" t="s">
        <v>23</v>
      </c>
      <c r="D491" s="35" t="s">
        <v>44</v>
      </c>
      <c r="E491" s="35" t="s">
        <v>45</v>
      </c>
      <c r="F491" s="35" t="s">
        <v>25</v>
      </c>
      <c r="G491" s="35" t="s">
        <v>25</v>
      </c>
      <c r="H491" s="35" t="s">
        <v>25</v>
      </c>
      <c r="I491" s="54">
        <v>44621</v>
      </c>
      <c r="J491" s="55">
        <f>EFEITO!$J$491*EFEITO!$Y$491</f>
        <v>0</v>
      </c>
      <c r="K491" s="55">
        <f ca="1">EFEITO!$L$491*EFEITO!$Z$491</f>
        <v>16095.336655476412</v>
      </c>
      <c r="L491" s="55">
        <f>EFEITO!$N$491*EFEITO!$AA$491</f>
        <v>6819.9077011259742</v>
      </c>
      <c r="M491" s="55">
        <f>$J$491-EFEITO!$K$491*EFEITO!$Y$491</f>
        <v>0</v>
      </c>
      <c r="N491" s="55">
        <f ca="1">$K$491-EFEITO!$M$491*EFEITO!$Z$491</f>
        <v>0</v>
      </c>
      <c r="O491" s="55">
        <f>$L$491-EFEITO!$O$491*EFEITO!$AA$491</f>
        <v>0</v>
      </c>
      <c r="P491" s="39"/>
      <c r="Q491" s="39"/>
      <c r="R491" s="39"/>
      <c r="S491" s="39"/>
      <c r="T491" s="39"/>
      <c r="U491" s="39"/>
      <c r="V491" s="39"/>
      <c r="W491" s="39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35" t="s">
        <v>21</v>
      </c>
      <c r="B492" s="35" t="s">
        <v>43</v>
      </c>
      <c r="C492" s="35" t="s">
        <v>23</v>
      </c>
      <c r="D492" s="35" t="s">
        <v>44</v>
      </c>
      <c r="E492" s="35" t="s">
        <v>45</v>
      </c>
      <c r="F492" s="35" t="s">
        <v>25</v>
      </c>
      <c r="G492" s="35" t="s">
        <v>25</v>
      </c>
      <c r="H492" s="35" t="s">
        <v>25</v>
      </c>
      <c r="I492" s="54">
        <v>44652</v>
      </c>
      <c r="J492" s="55">
        <f>EFEITO!$J$492*EFEITO!$Y$492</f>
        <v>0</v>
      </c>
      <c r="K492" s="55">
        <f ca="1">EFEITO!$L$492*EFEITO!$Z$492</f>
        <v>15908.086424924022</v>
      </c>
      <c r="L492" s="55">
        <f>EFEITO!$N$492*EFEITO!$AA$492</f>
        <v>6740.5661305383619</v>
      </c>
      <c r="M492" s="55">
        <f>$J$492-EFEITO!$K$492*EFEITO!$Y$492</f>
        <v>0</v>
      </c>
      <c r="N492" s="55">
        <f ca="1">$K$492-EFEITO!$M$492*EFEITO!$Z$492</f>
        <v>0</v>
      </c>
      <c r="O492" s="55">
        <f>$L$492-EFEITO!$O$492*EFEITO!$AA$492</f>
        <v>0</v>
      </c>
      <c r="P492" s="39"/>
      <c r="Q492" s="39"/>
      <c r="R492" s="39"/>
      <c r="S492" s="39"/>
      <c r="T492" s="39"/>
      <c r="U492" s="39"/>
      <c r="V492" s="39"/>
      <c r="W492" s="39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35" t="s">
        <v>21</v>
      </c>
      <c r="B493" s="35" t="s">
        <v>43</v>
      </c>
      <c r="C493" s="35" t="s">
        <v>23</v>
      </c>
      <c r="D493" s="35" t="s">
        <v>44</v>
      </c>
      <c r="E493" s="35" t="s">
        <v>45</v>
      </c>
      <c r="F493" s="35" t="s">
        <v>25</v>
      </c>
      <c r="G493" s="35" t="s">
        <v>25</v>
      </c>
      <c r="H493" s="35" t="s">
        <v>25</v>
      </c>
      <c r="I493" s="54">
        <v>44682</v>
      </c>
      <c r="J493" s="55">
        <f>EFEITO!$J$493*EFEITO!$Y$493</f>
        <v>0</v>
      </c>
      <c r="K493" s="55">
        <f ca="1">EFEITO!$L$493*EFEITO!$Z$493</f>
        <v>16129.032069714633</v>
      </c>
      <c r="L493" s="55">
        <f>EFEITO!$N$493*EFEITO!$AA$493</f>
        <v>6834.1851045736166</v>
      </c>
      <c r="M493" s="55">
        <f>$J$493-EFEITO!$K$493*EFEITO!$Y$493</f>
        <v>0</v>
      </c>
      <c r="N493" s="55">
        <f ca="1">$K$493-EFEITO!$M$493*EFEITO!$Z$493</f>
        <v>0</v>
      </c>
      <c r="O493" s="55">
        <f>$L$493-EFEITO!$O$493*EFEITO!$AA$493</f>
        <v>0</v>
      </c>
      <c r="P493" s="39"/>
      <c r="Q493" s="39"/>
      <c r="R493" s="39"/>
      <c r="S493" s="39"/>
      <c r="T493" s="39"/>
      <c r="U493" s="39"/>
      <c r="V493" s="39"/>
      <c r="W493" s="39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35" t="s">
        <v>21</v>
      </c>
      <c r="B494" s="35" t="s">
        <v>43</v>
      </c>
      <c r="C494" s="35" t="s">
        <v>23</v>
      </c>
      <c r="D494" s="35" t="s">
        <v>44</v>
      </c>
      <c r="E494" s="35" t="s">
        <v>45</v>
      </c>
      <c r="F494" s="35" t="s">
        <v>25</v>
      </c>
      <c r="G494" s="35" t="s">
        <v>25</v>
      </c>
      <c r="H494" s="35" t="s">
        <v>25</v>
      </c>
      <c r="I494" s="54">
        <v>44713</v>
      </c>
      <c r="J494" s="55">
        <f>EFEITO!$J$494*EFEITO!$Y$494</f>
        <v>0</v>
      </c>
      <c r="K494" s="55">
        <f ca="1">EFEITO!$L$494*EFEITO!$Z$494</f>
        <v>15586.295218949024</v>
      </c>
      <c r="L494" s="55">
        <f>EFEITO!$N$494*EFEITO!$AA$494</f>
        <v>6604.2169276133773</v>
      </c>
      <c r="M494" s="55">
        <f>$J$494-EFEITO!$K$494*EFEITO!$Y$494</f>
        <v>0</v>
      </c>
      <c r="N494" s="55">
        <f ca="1">$K$494-EFEITO!$M$494*EFEITO!$Z$494</f>
        <v>0</v>
      </c>
      <c r="O494" s="55">
        <f>$L$494-EFEITO!$O$494*EFEITO!$AA$494</f>
        <v>0</v>
      </c>
      <c r="P494" s="39"/>
      <c r="Q494" s="39"/>
      <c r="R494" s="39"/>
      <c r="S494" s="39"/>
      <c r="T494" s="39"/>
      <c r="U494" s="39"/>
      <c r="V494" s="39"/>
      <c r="W494" s="39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35" t="s">
        <v>21</v>
      </c>
      <c r="B495" s="35" t="s">
        <v>43</v>
      </c>
      <c r="C495" s="35" t="s">
        <v>23</v>
      </c>
      <c r="D495" s="35" t="s">
        <v>44</v>
      </c>
      <c r="E495" s="35" t="s">
        <v>45</v>
      </c>
      <c r="F495" s="35" t="s">
        <v>25</v>
      </c>
      <c r="G495" s="35" t="s">
        <v>25</v>
      </c>
      <c r="H495" s="35" t="s">
        <v>25</v>
      </c>
      <c r="I495" s="54">
        <v>44743</v>
      </c>
      <c r="J495" s="55">
        <f>EFEITO!$J$495*EFEITO!$Y$495</f>
        <v>0</v>
      </c>
      <c r="K495" s="55">
        <f ca="1">EFEITO!$L$495*EFEITO!$Z$495</f>
        <v>16094.614610885594</v>
      </c>
      <c r="L495" s="55">
        <f>EFEITO!$N$495*EFEITO!$AA$495</f>
        <v>6819.6017567663812</v>
      </c>
      <c r="M495" s="55">
        <f>$J$495-EFEITO!$K$495*EFEITO!$Y$495</f>
        <v>0</v>
      </c>
      <c r="N495" s="55">
        <f ca="1">$K$495-EFEITO!$M$495*EFEITO!$Z$495</f>
        <v>0</v>
      </c>
      <c r="O495" s="55">
        <f>$L$495-EFEITO!$O$495*EFEITO!$AA$495</f>
        <v>0</v>
      </c>
      <c r="P495" s="39"/>
      <c r="Q495" s="39"/>
      <c r="R495" s="39"/>
      <c r="S495" s="39"/>
      <c r="T495" s="39"/>
      <c r="U495" s="39"/>
      <c r="V495" s="39"/>
      <c r="W495" s="39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35" t="s">
        <v>21</v>
      </c>
      <c r="B496" s="35" t="s">
        <v>43</v>
      </c>
      <c r="C496" s="35" t="s">
        <v>23</v>
      </c>
      <c r="D496" s="35" t="s">
        <v>44</v>
      </c>
      <c r="E496" s="35" t="s">
        <v>45</v>
      </c>
      <c r="F496" s="35" t="s">
        <v>25</v>
      </c>
      <c r="G496" s="35" t="s">
        <v>25</v>
      </c>
      <c r="H496" s="35" t="s">
        <v>25</v>
      </c>
      <c r="I496" s="54">
        <v>44774</v>
      </c>
      <c r="J496" s="55">
        <f>EFEITO!$J$496*EFEITO!$Y$496</f>
        <v>0</v>
      </c>
      <c r="K496" s="55">
        <f ca="1">EFEITO!$L$496*EFEITO!$Z$496</f>
        <v>16078.24826682703</v>
      </c>
      <c r="L496" s="55">
        <f>EFEITO!$N$496*EFEITO!$AA$496</f>
        <v>6812.6670179489556</v>
      </c>
      <c r="M496" s="55">
        <f>$J$496-EFEITO!$K$496*EFEITO!$Y$496</f>
        <v>0</v>
      </c>
      <c r="N496" s="55">
        <f ca="1">$K$496-EFEITO!$M$496*EFEITO!$Z$496</f>
        <v>0</v>
      </c>
      <c r="O496" s="55">
        <f>$L$496-EFEITO!$O$496*EFEITO!$AA$496</f>
        <v>0</v>
      </c>
      <c r="P496" s="39"/>
      <c r="Q496" s="39"/>
      <c r="R496" s="39"/>
      <c r="S496" s="39"/>
      <c r="T496" s="39"/>
      <c r="U496" s="39"/>
      <c r="V496" s="39"/>
      <c r="W496" s="39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35" t="s">
        <v>21</v>
      </c>
      <c r="B497" s="35" t="s">
        <v>43</v>
      </c>
      <c r="C497" s="35" t="s">
        <v>23</v>
      </c>
      <c r="D497" s="35" t="s">
        <v>44</v>
      </c>
      <c r="E497" s="35" t="s">
        <v>46</v>
      </c>
      <c r="F497" s="35" t="s">
        <v>25</v>
      </c>
      <c r="G497" s="35" t="s">
        <v>25</v>
      </c>
      <c r="H497" s="35" t="s">
        <v>25</v>
      </c>
      <c r="I497" s="54">
        <v>44440</v>
      </c>
      <c r="J497" s="55">
        <f>EFEITO!$J$497*EFEITO!$Y$497</f>
        <v>0</v>
      </c>
      <c r="K497" s="55">
        <f ca="1">EFEITO!$L$497*EFEITO!$Z$497</f>
        <v>548.22876568365621</v>
      </c>
      <c r="L497" s="55">
        <f>EFEITO!$N$497*EFEITO!$AA$497</f>
        <v>232.29520830138142</v>
      </c>
      <c r="M497" s="55">
        <f>$J$497-EFEITO!$K$497*EFEITO!$Y$497</f>
        <v>0</v>
      </c>
      <c r="N497" s="55">
        <f ca="1">$K$497-EFEITO!$M$497*EFEITO!$Z$497</f>
        <v>0</v>
      </c>
      <c r="O497" s="55">
        <f>$L$497-EFEITO!$O$497*EFEITO!$AA$497</f>
        <v>0</v>
      </c>
      <c r="P497" s="39"/>
      <c r="Q497" s="39"/>
      <c r="R497" s="39"/>
      <c r="S497" s="39"/>
      <c r="T497" s="39"/>
      <c r="U497" s="39"/>
      <c r="V497" s="39"/>
      <c r="W497" s="39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35" t="s">
        <v>21</v>
      </c>
      <c r="B498" s="35" t="s">
        <v>43</v>
      </c>
      <c r="C498" s="35" t="s">
        <v>23</v>
      </c>
      <c r="D498" s="35" t="s">
        <v>44</v>
      </c>
      <c r="E498" s="35" t="s">
        <v>46</v>
      </c>
      <c r="F498" s="35" t="s">
        <v>25</v>
      </c>
      <c r="G498" s="35" t="s">
        <v>25</v>
      </c>
      <c r="H498" s="35" t="s">
        <v>25</v>
      </c>
      <c r="I498" s="54">
        <v>44470</v>
      </c>
      <c r="J498" s="55">
        <f>EFEITO!$J$498*EFEITO!$Y$498</f>
        <v>0</v>
      </c>
      <c r="K498" s="55">
        <f ca="1">EFEITO!$L$498*EFEITO!$Z$498</f>
        <v>566.34552087147813</v>
      </c>
      <c r="L498" s="55">
        <f>EFEITO!$N$498*EFEITO!$AA$498</f>
        <v>239.97163041478916</v>
      </c>
      <c r="M498" s="55">
        <f>$J$498-EFEITO!$K$498*EFEITO!$Y$498</f>
        <v>0</v>
      </c>
      <c r="N498" s="55">
        <f ca="1">$K$498-EFEITO!$M$498*EFEITO!$Z$498</f>
        <v>0</v>
      </c>
      <c r="O498" s="55">
        <f>$L$498-EFEITO!$O$498*EFEITO!$AA$498</f>
        <v>0</v>
      </c>
      <c r="P498" s="39"/>
      <c r="Q498" s="39"/>
      <c r="R498" s="39"/>
      <c r="S498" s="39"/>
      <c r="T498" s="39"/>
      <c r="U498" s="39"/>
      <c r="V498" s="39"/>
      <c r="W498" s="39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35" t="s">
        <v>21</v>
      </c>
      <c r="B499" s="35" t="s">
        <v>43</v>
      </c>
      <c r="C499" s="35" t="s">
        <v>23</v>
      </c>
      <c r="D499" s="35" t="s">
        <v>44</v>
      </c>
      <c r="E499" s="35" t="s">
        <v>46</v>
      </c>
      <c r="F499" s="35" t="s">
        <v>25</v>
      </c>
      <c r="G499" s="35" t="s">
        <v>25</v>
      </c>
      <c r="H499" s="35" t="s">
        <v>25</v>
      </c>
      <c r="I499" s="54">
        <v>44501</v>
      </c>
      <c r="J499" s="55">
        <f>EFEITO!$J$499*EFEITO!$Y$499</f>
        <v>0</v>
      </c>
      <c r="K499" s="55">
        <f ca="1">EFEITO!$L$499*EFEITO!$Z$499</f>
        <v>548.22876568365621</v>
      </c>
      <c r="L499" s="55">
        <f>EFEITO!$N$499*EFEITO!$AA$499</f>
        <v>232.29520830138142</v>
      </c>
      <c r="M499" s="55">
        <f>$J$499-EFEITO!$K$499*EFEITO!$Y$499</f>
        <v>0</v>
      </c>
      <c r="N499" s="55">
        <f ca="1">$K$499-EFEITO!$M$499*EFEITO!$Z$499</f>
        <v>0</v>
      </c>
      <c r="O499" s="55">
        <f>$L$499-EFEITO!$O$499*EFEITO!$AA$499</f>
        <v>0</v>
      </c>
      <c r="P499" s="39"/>
      <c r="Q499" s="39"/>
      <c r="R499" s="39"/>
      <c r="S499" s="39"/>
      <c r="T499" s="39"/>
      <c r="U499" s="39"/>
      <c r="V499" s="39"/>
      <c r="W499" s="39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35" t="s">
        <v>21</v>
      </c>
      <c r="B500" s="35" t="s">
        <v>43</v>
      </c>
      <c r="C500" s="35" t="s">
        <v>23</v>
      </c>
      <c r="D500" s="35" t="s">
        <v>44</v>
      </c>
      <c r="E500" s="35" t="s">
        <v>46</v>
      </c>
      <c r="F500" s="35" t="s">
        <v>25</v>
      </c>
      <c r="G500" s="35" t="s">
        <v>25</v>
      </c>
      <c r="H500" s="35" t="s">
        <v>25</v>
      </c>
      <c r="I500" s="54">
        <v>44531</v>
      </c>
      <c r="J500" s="55">
        <f>EFEITO!$J$500*EFEITO!$Y$500</f>
        <v>0</v>
      </c>
      <c r="K500" s="55">
        <f ca="1">EFEITO!$L$500*EFEITO!$Z$500</f>
        <v>566.34552087147813</v>
      </c>
      <c r="L500" s="55">
        <f>EFEITO!$N$500*EFEITO!$AA$500</f>
        <v>239.97163041478916</v>
      </c>
      <c r="M500" s="55">
        <f>$J$500-EFEITO!$K$500*EFEITO!$Y$500</f>
        <v>0</v>
      </c>
      <c r="N500" s="55">
        <f ca="1">$K$500-EFEITO!$M$500*EFEITO!$Z$500</f>
        <v>0</v>
      </c>
      <c r="O500" s="55">
        <f>$L$500-EFEITO!$O$500*EFEITO!$AA$500</f>
        <v>0</v>
      </c>
      <c r="P500" s="39"/>
      <c r="Q500" s="39"/>
      <c r="R500" s="39"/>
      <c r="S500" s="39"/>
      <c r="T500" s="39"/>
      <c r="U500" s="39"/>
      <c r="V500" s="39"/>
      <c r="W500" s="39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35" t="s">
        <v>21</v>
      </c>
      <c r="B501" s="35" t="s">
        <v>43</v>
      </c>
      <c r="C501" s="35" t="s">
        <v>23</v>
      </c>
      <c r="D501" s="35" t="s">
        <v>44</v>
      </c>
      <c r="E501" s="35" t="s">
        <v>46</v>
      </c>
      <c r="F501" s="35" t="s">
        <v>25</v>
      </c>
      <c r="G501" s="35" t="s">
        <v>25</v>
      </c>
      <c r="H501" s="35" t="s">
        <v>25</v>
      </c>
      <c r="I501" s="54">
        <v>44562</v>
      </c>
      <c r="J501" s="55">
        <f>EFEITO!$J$501*EFEITO!$Y$501</f>
        <v>0</v>
      </c>
      <c r="K501" s="55">
        <f ca="1">EFEITO!$L$501*EFEITO!$Z$501</f>
        <v>566.34552087147813</v>
      </c>
      <c r="L501" s="55">
        <f>EFEITO!$N$501*EFEITO!$AA$501</f>
        <v>239.97163041478916</v>
      </c>
      <c r="M501" s="55">
        <f>$J$501-EFEITO!$K$501*EFEITO!$Y$501</f>
        <v>0</v>
      </c>
      <c r="N501" s="55">
        <f ca="1">$K$501-EFEITO!$M$501*EFEITO!$Z$501</f>
        <v>0</v>
      </c>
      <c r="O501" s="55">
        <f>$L$501-EFEITO!$O$501*EFEITO!$AA$501</f>
        <v>0</v>
      </c>
      <c r="P501" s="39"/>
      <c r="Q501" s="39"/>
      <c r="R501" s="39"/>
      <c r="S501" s="39"/>
      <c r="T501" s="39"/>
      <c r="U501" s="39"/>
      <c r="V501" s="39"/>
      <c r="W501" s="39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35" t="s">
        <v>21</v>
      </c>
      <c r="B502" s="35" t="s">
        <v>43</v>
      </c>
      <c r="C502" s="35" t="s">
        <v>23</v>
      </c>
      <c r="D502" s="35" t="s">
        <v>44</v>
      </c>
      <c r="E502" s="35" t="s">
        <v>46</v>
      </c>
      <c r="F502" s="35" t="s">
        <v>25</v>
      </c>
      <c r="G502" s="35" t="s">
        <v>25</v>
      </c>
      <c r="H502" s="35" t="s">
        <v>25</v>
      </c>
      <c r="I502" s="54">
        <v>44593</v>
      </c>
      <c r="J502" s="55">
        <f>EFEITO!$J$502*EFEITO!$Y$502</f>
        <v>0</v>
      </c>
      <c r="K502" s="55">
        <f ca="1">EFEITO!$L$502*EFEITO!$Z$502</f>
        <v>511.47013196923479</v>
      </c>
      <c r="L502" s="55">
        <f>EFEITO!$N$502*EFEITO!$AA$502</f>
        <v>216.71985908577156</v>
      </c>
      <c r="M502" s="55">
        <f>$J$502-EFEITO!$K$502*EFEITO!$Y$502</f>
        <v>0</v>
      </c>
      <c r="N502" s="55">
        <f ca="1">$K$502-EFEITO!$M$502*EFEITO!$Z$502</f>
        <v>0</v>
      </c>
      <c r="O502" s="55">
        <f>$L$502-EFEITO!$O$502*EFEITO!$AA$502</f>
        <v>0</v>
      </c>
      <c r="P502" s="39"/>
      <c r="Q502" s="39"/>
      <c r="R502" s="39"/>
      <c r="S502" s="39"/>
      <c r="T502" s="39"/>
      <c r="U502" s="39"/>
      <c r="V502" s="39"/>
      <c r="W502" s="39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35" t="s">
        <v>21</v>
      </c>
      <c r="B503" s="35" t="s">
        <v>43</v>
      </c>
      <c r="C503" s="35" t="s">
        <v>23</v>
      </c>
      <c r="D503" s="35" t="s">
        <v>44</v>
      </c>
      <c r="E503" s="35" t="s">
        <v>46</v>
      </c>
      <c r="F503" s="35" t="s">
        <v>25</v>
      </c>
      <c r="G503" s="35" t="s">
        <v>25</v>
      </c>
      <c r="H503" s="35" t="s">
        <v>25</v>
      </c>
      <c r="I503" s="54">
        <v>44621</v>
      </c>
      <c r="J503" s="55">
        <f>EFEITO!$J$503*EFEITO!$Y$503</f>
        <v>0</v>
      </c>
      <c r="K503" s="55">
        <f ca="1">EFEITO!$L$503*EFEITO!$Z$503</f>
        <v>566.34552087147813</v>
      </c>
      <c r="L503" s="55">
        <f>EFEITO!$N$503*EFEITO!$AA$503</f>
        <v>239.97163041478916</v>
      </c>
      <c r="M503" s="55">
        <f>$J$503-EFEITO!$K$503*EFEITO!$Y$503</f>
        <v>0</v>
      </c>
      <c r="N503" s="55">
        <f ca="1">$K$503-EFEITO!$M$503*EFEITO!$Z$503</f>
        <v>0</v>
      </c>
      <c r="O503" s="55">
        <f>$L$503-EFEITO!$O$503*EFEITO!$AA$503</f>
        <v>0</v>
      </c>
      <c r="P503" s="39"/>
      <c r="Q503" s="39"/>
      <c r="R503" s="39"/>
      <c r="S503" s="39"/>
      <c r="T503" s="39"/>
      <c r="U503" s="39"/>
      <c r="V503" s="39"/>
      <c r="W503" s="39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35" t="s">
        <v>21</v>
      </c>
      <c r="B504" s="35" t="s">
        <v>43</v>
      </c>
      <c r="C504" s="35" t="s">
        <v>23</v>
      </c>
      <c r="D504" s="35" t="s">
        <v>44</v>
      </c>
      <c r="E504" s="35" t="s">
        <v>46</v>
      </c>
      <c r="F504" s="35" t="s">
        <v>25</v>
      </c>
      <c r="G504" s="35" t="s">
        <v>25</v>
      </c>
      <c r="H504" s="35" t="s">
        <v>25</v>
      </c>
      <c r="I504" s="54">
        <v>44652</v>
      </c>
      <c r="J504" s="55">
        <f>EFEITO!$J$504*EFEITO!$Y$504</f>
        <v>0</v>
      </c>
      <c r="K504" s="55">
        <f ca="1">EFEITO!$L$504*EFEITO!$Z$504</f>
        <v>548.22876568365621</v>
      </c>
      <c r="L504" s="55">
        <f>EFEITO!$N$504*EFEITO!$AA$504</f>
        <v>232.29520830138142</v>
      </c>
      <c r="M504" s="55">
        <f>$J$504-EFEITO!$K$504*EFEITO!$Y$504</f>
        <v>0</v>
      </c>
      <c r="N504" s="55">
        <f ca="1">$K$504-EFEITO!$M$504*EFEITO!$Z$504</f>
        <v>0</v>
      </c>
      <c r="O504" s="55">
        <f>$L$504-EFEITO!$O$504*EFEITO!$AA$504</f>
        <v>0</v>
      </c>
      <c r="P504" s="39"/>
      <c r="Q504" s="39"/>
      <c r="R504" s="39"/>
      <c r="S504" s="39"/>
      <c r="T504" s="39"/>
      <c r="U504" s="39"/>
      <c r="V504" s="39"/>
      <c r="W504" s="39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35" t="s">
        <v>21</v>
      </c>
      <c r="B505" s="35" t="s">
        <v>43</v>
      </c>
      <c r="C505" s="35" t="s">
        <v>23</v>
      </c>
      <c r="D505" s="35" t="s">
        <v>44</v>
      </c>
      <c r="E505" s="35" t="s">
        <v>46</v>
      </c>
      <c r="F505" s="35" t="s">
        <v>25</v>
      </c>
      <c r="G505" s="35" t="s">
        <v>25</v>
      </c>
      <c r="H505" s="35" t="s">
        <v>25</v>
      </c>
      <c r="I505" s="54">
        <v>44682</v>
      </c>
      <c r="J505" s="55">
        <f>EFEITO!$J$505*EFEITO!$Y$505</f>
        <v>0</v>
      </c>
      <c r="K505" s="55">
        <f ca="1">EFEITO!$L$505*EFEITO!$Z$505</f>
        <v>566.34552087147813</v>
      </c>
      <c r="L505" s="55">
        <f>EFEITO!$N$505*EFEITO!$AA$505</f>
        <v>239.97163041478916</v>
      </c>
      <c r="M505" s="55">
        <f>$J$505-EFEITO!$K$505*EFEITO!$Y$505</f>
        <v>0</v>
      </c>
      <c r="N505" s="55">
        <f ca="1">$K$505-EFEITO!$M$505*EFEITO!$Z$505</f>
        <v>0</v>
      </c>
      <c r="O505" s="55">
        <f>$L$505-EFEITO!$O$505*EFEITO!$AA$505</f>
        <v>0</v>
      </c>
      <c r="P505" s="39"/>
      <c r="Q505" s="39"/>
      <c r="R505" s="39"/>
      <c r="S505" s="39"/>
      <c r="T505" s="39"/>
      <c r="U505" s="39"/>
      <c r="V505" s="39"/>
      <c r="W505" s="39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35" t="s">
        <v>21</v>
      </c>
      <c r="B506" s="35" t="s">
        <v>43</v>
      </c>
      <c r="C506" s="35" t="s">
        <v>23</v>
      </c>
      <c r="D506" s="35" t="s">
        <v>44</v>
      </c>
      <c r="E506" s="35" t="s">
        <v>46</v>
      </c>
      <c r="F506" s="35" t="s">
        <v>25</v>
      </c>
      <c r="G506" s="35" t="s">
        <v>25</v>
      </c>
      <c r="H506" s="35" t="s">
        <v>25</v>
      </c>
      <c r="I506" s="54">
        <v>44713</v>
      </c>
      <c r="J506" s="55">
        <f>EFEITO!$J$506*EFEITO!$Y$506</f>
        <v>0</v>
      </c>
      <c r="K506" s="55">
        <f ca="1">EFEITO!$L$506*EFEITO!$Z$506</f>
        <v>548.22876568365621</v>
      </c>
      <c r="L506" s="55">
        <f>EFEITO!$N$506*EFEITO!$AA$506</f>
        <v>232.29520830138142</v>
      </c>
      <c r="M506" s="55">
        <f>$J$506-EFEITO!$K$506*EFEITO!$Y$506</f>
        <v>0</v>
      </c>
      <c r="N506" s="55">
        <f ca="1">$K$506-EFEITO!$M$506*EFEITO!$Z$506</f>
        <v>0</v>
      </c>
      <c r="O506" s="55">
        <f>$L$506-EFEITO!$O$506*EFEITO!$AA$506</f>
        <v>0</v>
      </c>
      <c r="P506" s="39"/>
      <c r="Q506" s="39"/>
      <c r="R506" s="39"/>
      <c r="S506" s="39"/>
      <c r="T506" s="39"/>
      <c r="U506" s="39"/>
      <c r="V506" s="39"/>
      <c r="W506" s="39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35" t="s">
        <v>21</v>
      </c>
      <c r="B507" s="35" t="s">
        <v>43</v>
      </c>
      <c r="C507" s="35" t="s">
        <v>23</v>
      </c>
      <c r="D507" s="35" t="s">
        <v>44</v>
      </c>
      <c r="E507" s="35" t="s">
        <v>46</v>
      </c>
      <c r="F507" s="35" t="s">
        <v>25</v>
      </c>
      <c r="G507" s="35" t="s">
        <v>25</v>
      </c>
      <c r="H507" s="35" t="s">
        <v>25</v>
      </c>
      <c r="I507" s="54">
        <v>44743</v>
      </c>
      <c r="J507" s="55">
        <f>EFEITO!$J$507*EFEITO!$Y$507</f>
        <v>0</v>
      </c>
      <c r="K507" s="55">
        <f ca="1">EFEITO!$L$507*EFEITO!$Z$507</f>
        <v>566.34552087147813</v>
      </c>
      <c r="L507" s="55">
        <f>EFEITO!$N$507*EFEITO!$AA$507</f>
        <v>239.97163041478916</v>
      </c>
      <c r="M507" s="55">
        <f>$J$507-EFEITO!$K$507*EFEITO!$Y$507</f>
        <v>0</v>
      </c>
      <c r="N507" s="55">
        <f ca="1">$K$507-EFEITO!$M$507*EFEITO!$Z$507</f>
        <v>0</v>
      </c>
      <c r="O507" s="55">
        <f>$L$507-EFEITO!$O$507*EFEITO!$AA$507</f>
        <v>0</v>
      </c>
      <c r="P507" s="39"/>
      <c r="Q507" s="39"/>
      <c r="R507" s="39"/>
      <c r="S507" s="39"/>
      <c r="T507" s="39"/>
      <c r="U507" s="39"/>
      <c r="V507" s="39"/>
      <c r="W507" s="39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35" t="s">
        <v>21</v>
      </c>
      <c r="B508" s="35" t="s">
        <v>43</v>
      </c>
      <c r="C508" s="35" t="s">
        <v>23</v>
      </c>
      <c r="D508" s="35" t="s">
        <v>44</v>
      </c>
      <c r="E508" s="35" t="s">
        <v>46</v>
      </c>
      <c r="F508" s="35" t="s">
        <v>25</v>
      </c>
      <c r="G508" s="35" t="s">
        <v>25</v>
      </c>
      <c r="H508" s="35" t="s">
        <v>25</v>
      </c>
      <c r="I508" s="54">
        <v>44774</v>
      </c>
      <c r="J508" s="55">
        <f>EFEITO!$J$508*EFEITO!$Y$508</f>
        <v>0</v>
      </c>
      <c r="K508" s="55">
        <f ca="1">EFEITO!$L$508*EFEITO!$Z$508</f>
        <v>566.34552087147813</v>
      </c>
      <c r="L508" s="55">
        <f>EFEITO!$N$508*EFEITO!$AA$508</f>
        <v>239.97163041478916</v>
      </c>
      <c r="M508" s="55">
        <f>$J$508-EFEITO!$K$508*EFEITO!$Y$508</f>
        <v>0</v>
      </c>
      <c r="N508" s="55">
        <f ca="1">$K$508-EFEITO!$M$508*EFEITO!$Z$508</f>
        <v>0</v>
      </c>
      <c r="O508" s="55">
        <f>$L$508-EFEITO!$O$508*EFEITO!$AA$508</f>
        <v>0</v>
      </c>
      <c r="P508" s="39"/>
      <c r="Q508" s="39"/>
      <c r="R508" s="39"/>
      <c r="S508" s="39"/>
      <c r="T508" s="39"/>
      <c r="U508" s="39"/>
      <c r="V508" s="39"/>
      <c r="W508" s="39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A9C2-CE43-414D-BACD-73B484AA7ABE}">
  <dimension ref="A1:BD103"/>
  <sheetViews>
    <sheetView showGridLines="0" topLeftCell="B29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02" t="s">
        <v>63</v>
      </c>
      <c r="B1" s="102" t="s">
        <v>64</v>
      </c>
      <c r="C1" s="102" t="s">
        <v>65</v>
      </c>
      <c r="D1" s="102" t="s">
        <v>66</v>
      </c>
      <c r="E1" s="102" t="s">
        <v>67</v>
      </c>
      <c r="F1" s="102" t="s">
        <v>15</v>
      </c>
      <c r="G1" s="102" t="s">
        <v>69</v>
      </c>
      <c r="H1" s="102" t="s">
        <v>70</v>
      </c>
      <c r="I1" s="102" t="s">
        <v>512</v>
      </c>
      <c r="J1" s="95"/>
      <c r="L1" s="103" t="s">
        <v>714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I1" s="103" t="s">
        <v>715</v>
      </c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</row>
    <row r="2" spans="1:56" ht="11.2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95"/>
      <c r="L2" s="103" t="s">
        <v>411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I2" s="103" t="s">
        <v>411</v>
      </c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</row>
    <row r="3" spans="1:56" ht="11.2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95"/>
      <c r="L3" s="103" t="s">
        <v>412</v>
      </c>
      <c r="M3" s="103"/>
      <c r="N3" s="103"/>
      <c r="O3" s="103"/>
      <c r="P3" s="103"/>
      <c r="Q3" s="103"/>
      <c r="R3" s="103"/>
      <c r="S3" s="103"/>
      <c r="T3" s="103" t="s">
        <v>421</v>
      </c>
      <c r="U3" s="103"/>
      <c r="V3" s="103"/>
      <c r="W3" s="103"/>
      <c r="X3" s="103"/>
      <c r="Y3" s="103"/>
      <c r="Z3" s="103"/>
      <c r="AA3" s="10" t="s">
        <v>429</v>
      </c>
      <c r="AB3" s="103" t="s">
        <v>431</v>
      </c>
      <c r="AC3" s="103"/>
      <c r="AD3" s="103" t="s">
        <v>434</v>
      </c>
      <c r="AE3" s="103"/>
      <c r="AF3" s="103"/>
      <c r="AG3" s="103"/>
      <c r="AI3" s="103" t="s">
        <v>412</v>
      </c>
      <c r="AJ3" s="103"/>
      <c r="AK3" s="103"/>
      <c r="AL3" s="103"/>
      <c r="AM3" s="103"/>
      <c r="AN3" s="103"/>
      <c r="AO3" s="103"/>
      <c r="AP3" s="103"/>
      <c r="AQ3" s="103" t="s">
        <v>421</v>
      </c>
      <c r="AR3" s="103"/>
      <c r="AS3" s="103"/>
      <c r="AT3" s="103"/>
      <c r="AU3" s="103"/>
      <c r="AV3" s="103"/>
      <c r="AW3" s="103"/>
      <c r="AX3" s="10" t="s">
        <v>429</v>
      </c>
      <c r="AY3" s="103" t="s">
        <v>431</v>
      </c>
      <c r="AZ3" s="103"/>
      <c r="BA3" s="103" t="s">
        <v>434</v>
      </c>
      <c r="BB3" s="103"/>
      <c r="BC3" s="103"/>
      <c r="BD3" s="103"/>
    </row>
    <row r="4" spans="1:56" ht="11.2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95"/>
      <c r="L4" s="10" t="s">
        <v>497</v>
      </c>
      <c r="M4" s="10" t="s">
        <v>413</v>
      </c>
      <c r="N4" s="10" t="s">
        <v>414</v>
      </c>
      <c r="O4" s="10" t="s">
        <v>415</v>
      </c>
      <c r="P4" s="10" t="s">
        <v>416</v>
      </c>
      <c r="Q4" s="10" t="s">
        <v>417</v>
      </c>
      <c r="R4" s="10" t="s">
        <v>418</v>
      </c>
      <c r="S4" s="10" t="s">
        <v>419</v>
      </c>
      <c r="T4" s="10" t="s">
        <v>422</v>
      </c>
      <c r="U4" s="10" t="s">
        <v>423</v>
      </c>
      <c r="V4" s="10" t="s">
        <v>424</v>
      </c>
      <c r="W4" s="10" t="s">
        <v>425</v>
      </c>
      <c r="X4" s="10" t="s">
        <v>426</v>
      </c>
      <c r="Y4" s="10" t="s">
        <v>427</v>
      </c>
      <c r="Z4" s="10" t="s">
        <v>428</v>
      </c>
      <c r="AA4" s="10" t="s">
        <v>430</v>
      </c>
      <c r="AB4" s="10" t="s">
        <v>432</v>
      </c>
      <c r="AC4" s="10" t="s">
        <v>433</v>
      </c>
      <c r="AD4" s="10" t="s">
        <v>435</v>
      </c>
      <c r="AE4" s="10" t="s">
        <v>436</v>
      </c>
      <c r="AF4" s="10" t="s">
        <v>437</v>
      </c>
      <c r="AG4" s="10" t="s">
        <v>438</v>
      </c>
      <c r="AI4" s="10" t="s">
        <v>497</v>
      </c>
      <c r="AJ4" s="10" t="s">
        <v>413</v>
      </c>
      <c r="AK4" s="10" t="s">
        <v>414</v>
      </c>
      <c r="AL4" s="10" t="s">
        <v>415</v>
      </c>
      <c r="AM4" s="10" t="s">
        <v>416</v>
      </c>
      <c r="AN4" s="10" t="s">
        <v>417</v>
      </c>
      <c r="AO4" s="10" t="s">
        <v>418</v>
      </c>
      <c r="AP4" s="10" t="s">
        <v>419</v>
      </c>
      <c r="AQ4" s="10" t="s">
        <v>422</v>
      </c>
      <c r="AR4" s="10" t="s">
        <v>423</v>
      </c>
      <c r="AS4" s="10" t="s">
        <v>424</v>
      </c>
      <c r="AT4" s="10" t="s">
        <v>425</v>
      </c>
      <c r="AU4" s="10" t="s">
        <v>426</v>
      </c>
      <c r="AV4" s="10" t="s">
        <v>427</v>
      </c>
      <c r="AW4" s="10" t="s">
        <v>428</v>
      </c>
      <c r="AX4" s="10" t="s">
        <v>430</v>
      </c>
      <c r="AY4" s="10" t="s">
        <v>432</v>
      </c>
      <c r="AZ4" s="10" t="s">
        <v>433</v>
      </c>
      <c r="BA4" s="10" t="s">
        <v>435</v>
      </c>
      <c r="BB4" s="10" t="s">
        <v>436</v>
      </c>
      <c r="BC4" s="10" t="s">
        <v>437</v>
      </c>
      <c r="BD4" s="10" t="s">
        <v>438</v>
      </c>
    </row>
    <row r="5" spans="1:56" ht="11.25" customHeight="1" x14ac:dyDescent="0.25">
      <c r="A5" s="101" t="s">
        <v>35</v>
      </c>
      <c r="B5" s="101" t="s">
        <v>54</v>
      </c>
      <c r="C5" s="101" t="s">
        <v>25</v>
      </c>
      <c r="D5" s="101" t="s">
        <v>25</v>
      </c>
      <c r="E5" s="101" t="s">
        <v>25</v>
      </c>
      <c r="F5" s="101" t="s">
        <v>25</v>
      </c>
      <c r="G5" s="18" t="s">
        <v>77</v>
      </c>
      <c r="H5" s="18" t="s">
        <v>76</v>
      </c>
      <c r="I5" s="18">
        <f>'MERCADO TUSD'!$U$2</f>
        <v>1044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29.337761532890362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59.497249019738149</v>
      </c>
      <c r="AB5" s="13">
        <f ca="1">('TUSD BE'!$AE$5+'TUSD BF'!$AE$5+'TUSD CVA'!$AE$5)*1</f>
        <v>-1.2219751514046806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36.469524010169998</v>
      </c>
      <c r="AV5" s="13">
        <v>0</v>
      </c>
      <c r="AW5" s="13">
        <v>0</v>
      </c>
      <c r="AX5" s="13">
        <v>41.706653976130497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101"/>
      <c r="B6" s="101"/>
      <c r="C6" s="101"/>
      <c r="D6" s="101"/>
      <c r="E6" s="101"/>
      <c r="F6" s="101"/>
      <c r="G6" s="18" t="s">
        <v>78</v>
      </c>
      <c r="H6" s="18" t="s">
        <v>76</v>
      </c>
      <c r="I6" s="18">
        <f>'MERCADO TUSD'!$U$3</f>
        <v>1080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13.366798441838016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15.053424925919835</v>
      </c>
      <c r="AB6" s="13">
        <f ca="1">('TUSD BE'!$AE$6+'TUSD BF'!$AE$6+'TUSD CVA'!$AE$6)*1</f>
        <v>-0.3799669402414293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11.5898836225872</v>
      </c>
      <c r="AV6" s="13">
        <v>0</v>
      </c>
      <c r="AW6" s="13">
        <v>0</v>
      </c>
      <c r="AX6" s="13">
        <v>10.7551030349816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101"/>
      <c r="B7" s="101"/>
      <c r="C7" s="101"/>
      <c r="D7" s="101"/>
      <c r="E7" s="101"/>
      <c r="F7" s="101"/>
      <c r="G7" s="18" t="s">
        <v>79</v>
      </c>
      <c r="H7" s="18" t="s">
        <v>73</v>
      </c>
      <c r="I7" s="18">
        <f>'MERCADO TUSD'!$U$4</f>
        <v>562.31000000000006</v>
      </c>
      <c r="J7" s="15"/>
      <c r="L7" s="13">
        <f>('TUSD BE'!$L$7+'TUSD BF'!$L$7+'TUSD CVA'!$L$7)*1</f>
        <v>0</v>
      </c>
      <c r="M7" s="13">
        <f>('TUSD BE'!$M$7+'TUSD BF'!$M$7+'TUSD CVA'!$M$7)*1</f>
        <v>0.8944524603780325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80.170430431698676</v>
      </c>
      <c r="R7" s="13">
        <f>('TUSD BE'!$R$7+'TUSD BF'!$R$7+'TUSD CVA'!$R$7)*1</f>
        <v>15.082737833753715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-1.0279690368707879</v>
      </c>
      <c r="AC7" s="13">
        <f ca="1">('TUSD BE'!$AF$7+'TUSD BF'!$AF$7+'TUSD CVA'!$AF$7)*1</f>
        <v>0</v>
      </c>
      <c r="AD7" s="13">
        <f>('TUSD BE'!$AH$7+'TUSD BF'!$AH$7+'TUSD CVA'!$AH$7)*1</f>
        <v>4.9164396251250801</v>
      </c>
      <c r="AE7" s="13">
        <f>('TUSD BE'!$AI$7+'TUSD BF'!$AI$7+'TUSD CVA'!$AI$7)*1</f>
        <v>0.11106526329915754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0.44054908170232998</v>
      </c>
      <c r="AK7" s="13">
        <v>0</v>
      </c>
      <c r="AL7" s="13">
        <v>0</v>
      </c>
      <c r="AM7" s="13">
        <v>0</v>
      </c>
      <c r="AN7" s="13">
        <v>41.833174235190398</v>
      </c>
      <c r="AO7" s="13">
        <v>7.7341216130901804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6.91384968512385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101"/>
      <c r="B8" s="101"/>
      <c r="C8" s="101"/>
      <c r="D8" s="101"/>
      <c r="E8" s="17" t="s">
        <v>80</v>
      </c>
      <c r="F8" s="17" t="s">
        <v>25</v>
      </c>
      <c r="G8" s="18" t="s">
        <v>79</v>
      </c>
      <c r="H8" s="18" t="s">
        <v>73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0.8944524603780325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-6.5720776166138889E-2</v>
      </c>
      <c r="AC8" s="13">
        <f ca="1">('TUSD BE'!$AF$8+'TUSD BF'!$AF$8+'TUSD CVA'!$AF$8)*1</f>
        <v>0</v>
      </c>
      <c r="AD8" s="13">
        <f>('TUSD BE'!$AH$8+'TUSD BF'!$AH$8+'TUSD CVA'!$AH$8)*1</f>
        <v>4.9164396251250801</v>
      </c>
      <c r="AE8" s="13">
        <f>('TUSD BE'!$AI$8+'TUSD BF'!$AI$8+'TUSD CVA'!$AI$8)*1</f>
        <v>0.11106526329915754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0.44054908170232998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6.91384968512385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101"/>
      <c r="B9" s="17" t="s">
        <v>81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76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3.169050658069239E-2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14.22489789229779</v>
      </c>
      <c r="AB9" s="13">
        <f ca="1">('TUSD BE'!$AE$9+'TUSD BF'!$AE$9+'TUSD CVA'!$AE$9)*1</f>
        <v>-0.20893850630195512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7.7639891228819797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101"/>
      <c r="B10" s="101" t="s">
        <v>36</v>
      </c>
      <c r="C10" s="101" t="s">
        <v>25</v>
      </c>
      <c r="D10" s="101" t="s">
        <v>25</v>
      </c>
      <c r="E10" s="101" t="s">
        <v>25</v>
      </c>
      <c r="F10" s="101" t="s">
        <v>25</v>
      </c>
      <c r="G10" s="18" t="s">
        <v>9</v>
      </c>
      <c r="H10" s="18" t="s">
        <v>76</v>
      </c>
      <c r="I10" s="18">
        <f>'MERCADO TUSD'!$U$7</f>
        <v>111678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13.366798441838016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15.053424925919835</v>
      </c>
      <c r="AB10" s="13">
        <f ca="1">('TUSD BE'!$AE$10+'TUSD BF'!$AE$10+'TUSD CVA'!$AE$10)*1</f>
        <v>-0.3799669402414293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11.5898836225872</v>
      </c>
      <c r="AV10" s="13">
        <v>0</v>
      </c>
      <c r="AW10" s="13">
        <v>0</v>
      </c>
      <c r="AX10" s="13">
        <v>10.7551030349816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101"/>
      <c r="B11" s="101"/>
      <c r="C11" s="101"/>
      <c r="D11" s="101"/>
      <c r="E11" s="101"/>
      <c r="F11" s="101"/>
      <c r="G11" s="18" t="s">
        <v>74</v>
      </c>
      <c r="H11" s="18" t="s">
        <v>73</v>
      </c>
      <c r="I11" s="18">
        <f>'MERCADO TUSD'!$U$8</f>
        <v>724.46799999999996</v>
      </c>
      <c r="J11" s="15"/>
      <c r="L11" s="13">
        <f>('TUSD BE'!$L$11+'TUSD BF'!$L$11+'TUSD CVA'!$L$11)*1</f>
        <v>0</v>
      </c>
      <c r="M11" s="13">
        <f>('TUSD BE'!$M$11+'TUSD BF'!$M$11+'TUSD CVA'!$M$11)*1</f>
        <v>0.8944524603780325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80.170430431698676</v>
      </c>
      <c r="R11" s="13">
        <f>('TUSD BE'!$R$11+'TUSD BF'!$R$11+'TUSD CVA'!$R$11)*1</f>
        <v>15.082737833753715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705.50420359388431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1430.9101796511286</v>
      </c>
      <c r="AB11" s="13">
        <f ca="1">('TUSD BE'!$AE$11+'TUSD BF'!$AE$11+'TUSD CVA'!$AE$11)*1</f>
        <v>-30.415669750535947</v>
      </c>
      <c r="AC11" s="13">
        <f ca="1">('TUSD BE'!$AF$11+'TUSD BF'!$AF$11+'TUSD CVA'!$AF$11)*1</f>
        <v>0</v>
      </c>
      <c r="AD11" s="13">
        <f>('TUSD BE'!$AH$11+'TUSD BF'!$AH$11+'TUSD CVA'!$AH$11)*1</f>
        <v>4.9164396251250801</v>
      </c>
      <c r="AE11" s="13">
        <f>('TUSD BE'!$AI$11+'TUSD BF'!$AI$11+'TUSD CVA'!$AI$11)*1</f>
        <v>0.11106526329915754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0.44054908170232998</v>
      </c>
      <c r="AK11" s="13">
        <v>0</v>
      </c>
      <c r="AL11" s="13">
        <v>0</v>
      </c>
      <c r="AM11" s="13">
        <v>0</v>
      </c>
      <c r="AN11" s="13">
        <v>41.833174235190398</v>
      </c>
      <c r="AO11" s="13">
        <v>7.7341216130901804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876.969695856253</v>
      </c>
      <c r="AV11" s="13">
        <v>0</v>
      </c>
      <c r="AW11" s="13">
        <v>0</v>
      </c>
      <c r="AX11" s="13">
        <v>1003.0487173556201</v>
      </c>
      <c r="AY11" s="13">
        <v>0</v>
      </c>
      <c r="AZ11" s="13">
        <v>0</v>
      </c>
      <c r="BA11" s="13">
        <v>6.91384968512385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101"/>
      <c r="B12" s="101"/>
      <c r="C12" s="101"/>
      <c r="D12" s="101"/>
      <c r="E12" s="101"/>
      <c r="F12" s="101"/>
      <c r="G12" s="18" t="s">
        <v>75</v>
      </c>
      <c r="H12" s="18" t="s">
        <v>73</v>
      </c>
      <c r="I12" s="18">
        <f>'MERCADO TUSD'!$U$9</f>
        <v>19056.422999999999</v>
      </c>
      <c r="J12" s="15"/>
      <c r="L12" s="13">
        <f>('TUSD BE'!$L$12+'TUSD BF'!$L$12+'TUSD CVA'!$L$12)*1</f>
        <v>0</v>
      </c>
      <c r="M12" s="13">
        <f>('TUSD BE'!$M$12+'TUSD BF'!$M$12+'TUSD CVA'!$M$12)*1</f>
        <v>0.8944524603780325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80.170430431698676</v>
      </c>
      <c r="R12" s="13">
        <f>('TUSD BE'!$R$12+'TUSD BF'!$R$12+'TUSD CVA'!$R$12)*1</f>
        <v>15.082737833753715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-1.0279690368707879</v>
      </c>
      <c r="AC12" s="13">
        <f ca="1">('TUSD BE'!$AF$12+'TUSD BF'!$AF$12+'TUSD CVA'!$AF$12)*1</f>
        <v>0</v>
      </c>
      <c r="AD12" s="13">
        <f>('TUSD BE'!$AH$12+'TUSD BF'!$AH$12+'TUSD CVA'!$AH$12)*1</f>
        <v>4.9164396251250801</v>
      </c>
      <c r="AE12" s="13">
        <f>('TUSD BE'!$AI$12+'TUSD BF'!$AI$12+'TUSD CVA'!$AI$12)*1</f>
        <v>0.11106526329915754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0.44054908170232998</v>
      </c>
      <c r="AK12" s="13">
        <v>0</v>
      </c>
      <c r="AL12" s="13">
        <v>0</v>
      </c>
      <c r="AM12" s="13">
        <v>0</v>
      </c>
      <c r="AN12" s="13">
        <v>41.833174235190398</v>
      </c>
      <c r="AO12" s="13">
        <v>7.7341216130901804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6.91384968512385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101"/>
      <c r="B13" s="101"/>
      <c r="C13" s="101"/>
      <c r="D13" s="101"/>
      <c r="E13" s="101" t="s">
        <v>80</v>
      </c>
      <c r="F13" s="101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0.8944524603780325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705.50420359388431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1430.9101796511286</v>
      </c>
      <c r="AB13" s="13">
        <f ca="1">('TUSD BE'!$AE$13+'TUSD BF'!$AE$13+'TUSD CVA'!$AE$13)*1</f>
        <v>-29.4534214898313</v>
      </c>
      <c r="AC13" s="13">
        <f ca="1">('TUSD BE'!$AF$13+'TUSD BF'!$AF$13+'TUSD CVA'!$AF$13)*1</f>
        <v>0</v>
      </c>
      <c r="AD13" s="13">
        <f>('TUSD BE'!$AH$13+'TUSD BF'!$AH$13+'TUSD CVA'!$AH$13)*1</f>
        <v>4.9164396251250801</v>
      </c>
      <c r="AE13" s="13">
        <f>('TUSD BE'!$AI$13+'TUSD BF'!$AI$13+'TUSD CVA'!$AI$13)*1</f>
        <v>0.11106526329915754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0.44054908170232998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876.969695856253</v>
      </c>
      <c r="AV13" s="13">
        <v>0</v>
      </c>
      <c r="AW13" s="13">
        <v>0</v>
      </c>
      <c r="AX13" s="13">
        <v>1003.0487173556201</v>
      </c>
      <c r="AY13" s="13">
        <v>0</v>
      </c>
      <c r="AZ13" s="13">
        <v>0</v>
      </c>
      <c r="BA13" s="13">
        <v>6.91384968512385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101"/>
      <c r="B14" s="101"/>
      <c r="C14" s="101"/>
      <c r="D14" s="101"/>
      <c r="E14" s="101"/>
      <c r="F14" s="101"/>
      <c r="G14" s="18" t="s">
        <v>75</v>
      </c>
      <c r="H14" s="18" t="s">
        <v>73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0.8944524603780325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-6.5720776166138889E-2</v>
      </c>
      <c r="AC14" s="13">
        <f ca="1">('TUSD BE'!$AF$14+'TUSD BF'!$AF$14+'TUSD CVA'!$AF$14)*1</f>
        <v>0</v>
      </c>
      <c r="AD14" s="13">
        <f>('TUSD BE'!$AH$14+'TUSD BF'!$AH$14+'TUSD CVA'!$AH$14)*1</f>
        <v>4.9164396251250801</v>
      </c>
      <c r="AE14" s="13">
        <f>('TUSD BE'!$AI$14+'TUSD BF'!$AI$14+'TUSD CVA'!$AI$14)*1</f>
        <v>0.11106526329915754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0.44054908170232998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6.91384968512385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101" t="s">
        <v>82</v>
      </c>
      <c r="B15" s="101" t="s">
        <v>81</v>
      </c>
      <c r="C15" s="101" t="s">
        <v>25</v>
      </c>
      <c r="D15" s="101" t="s">
        <v>25</v>
      </c>
      <c r="E15" s="17" t="s">
        <v>83</v>
      </c>
      <c r="F15" s="17" t="s">
        <v>25</v>
      </c>
      <c r="G15" s="18" t="s">
        <v>9</v>
      </c>
      <c r="H15" s="18" t="s">
        <v>76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5.4054041324926826E-3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2.6883659728120635</v>
      </c>
      <c r="AB15" s="13">
        <f ca="1">('TUSD BE'!$AE$15+'TUSD BF'!$AE$15+'TUSD CVA'!$AE$15)*1</f>
        <v>-3.9481373303133033E-2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6.1712702174494902E-3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3.4708188771295898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101"/>
      <c r="B16" s="101"/>
      <c r="C16" s="101"/>
      <c r="D16" s="101"/>
      <c r="E16" s="17" t="s">
        <v>84</v>
      </c>
      <c r="F16" s="17" t="s">
        <v>25</v>
      </c>
      <c r="G16" s="18" t="s">
        <v>9</v>
      </c>
      <c r="H16" s="18" t="s">
        <v>76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5.4054041324926826E-3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14.814712775524811</v>
      </c>
      <c r="AB16" s="13">
        <f ca="1">('TUSD BE'!$AE$16+'TUSD BF'!$AE$16+'TUSD CVA'!$AE$16)*1</f>
        <v>-0.21732045428293764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6.1712702174494902E-3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13.0548279768869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101" t="s">
        <v>22</v>
      </c>
      <c r="B17" s="101" t="s">
        <v>87</v>
      </c>
      <c r="C17" s="101" t="s">
        <v>24</v>
      </c>
      <c r="D17" s="101" t="s">
        <v>24</v>
      </c>
      <c r="E17" s="101" t="s">
        <v>25</v>
      </c>
      <c r="F17" s="101" t="s">
        <v>25</v>
      </c>
      <c r="G17" s="18" t="s">
        <v>74</v>
      </c>
      <c r="H17" s="18" t="s">
        <v>73</v>
      </c>
      <c r="I17" s="18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1.3756112304213697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95.440988609165089</v>
      </c>
      <c r="R17" s="13">
        <f>('TUSD BE'!$R$17+'TUSD BF'!$R$17+'TUSD CVA'!$R$17)*1</f>
        <v>15.082737833753715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306.44986732029196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613.0261047344311</v>
      </c>
      <c r="AB17" s="13">
        <f ca="1">('TUSD BE'!$AE$17+'TUSD BF'!$AE$17+'TUSD CVA'!$AE$17)*1</f>
        <v>-13.931727792971305</v>
      </c>
      <c r="AC17" s="13">
        <f ca="1">('TUSD BE'!$AF$17+'TUSD BF'!$AF$17+'TUSD CVA'!$AF$17)*1</f>
        <v>0</v>
      </c>
      <c r="AD17" s="13">
        <f>('TUSD BE'!$AH$17+'TUSD BF'!$AH$17+'TUSD CVA'!$AH$17)*1</f>
        <v>13.982150816459503</v>
      </c>
      <c r="AE17" s="13">
        <f>('TUSD BE'!$AI$17+'TUSD BF'!$AI$17+'TUSD CVA'!$AI$17)*1</f>
        <v>0.31582367083431906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0.97733990997999298</v>
      </c>
      <c r="AK17" s="13">
        <v>0</v>
      </c>
      <c r="AL17" s="13">
        <v>0</v>
      </c>
      <c r="AM17" s="13">
        <v>0</v>
      </c>
      <c r="AN17" s="13">
        <v>48.084108316310903</v>
      </c>
      <c r="AO17" s="13">
        <v>7.7341216130901804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330.80995953240802</v>
      </c>
      <c r="AV17" s="13">
        <v>0</v>
      </c>
      <c r="AW17" s="13">
        <v>0</v>
      </c>
      <c r="AX17" s="13">
        <v>538.60777372022903</v>
      </c>
      <c r="AY17" s="13">
        <v>0</v>
      </c>
      <c r="AZ17" s="13">
        <v>0</v>
      </c>
      <c r="BA17" s="13">
        <v>16.235869098814302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101"/>
      <c r="B18" s="101"/>
      <c r="C18" s="101"/>
      <c r="D18" s="101"/>
      <c r="E18" s="101"/>
      <c r="F18" s="101"/>
      <c r="G18" s="18" t="s">
        <v>85</v>
      </c>
      <c r="H18" s="18" t="s">
        <v>73</v>
      </c>
      <c r="I18" s="18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1.3756112304213697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95.440988609165089</v>
      </c>
      <c r="R18" s="13">
        <f>('TUSD BE'!$R$18+'TUSD BF'!$R$18+'TUSD CVA'!$R$18)*1</f>
        <v>15.082737833753715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183.86711518788519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367.81562094295782</v>
      </c>
      <c r="AB18" s="13">
        <f ca="1">('TUSD BE'!$AE$18+'TUSD BF'!$AE$18+'TUSD CVA'!$AE$18)*1</f>
        <v>-8.8756098986225584</v>
      </c>
      <c r="AC18" s="13">
        <f ca="1">('TUSD BE'!$AF$18+'TUSD BF'!$AF$18+'TUSD CVA'!$AF$18)*1</f>
        <v>0</v>
      </c>
      <c r="AD18" s="13">
        <f>('TUSD BE'!$AH$18+'TUSD BF'!$AH$18+'TUSD CVA'!$AH$18)*1</f>
        <v>13.982150816459503</v>
      </c>
      <c r="AE18" s="13">
        <f>('TUSD BE'!$AI$18+'TUSD BF'!$AI$18+'TUSD CVA'!$AI$18)*1</f>
        <v>0.31582367083431906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0.97733990997999298</v>
      </c>
      <c r="AK18" s="13">
        <v>0</v>
      </c>
      <c r="AL18" s="13">
        <v>0</v>
      </c>
      <c r="AM18" s="13">
        <v>0</v>
      </c>
      <c r="AN18" s="13">
        <v>48.084108316310903</v>
      </c>
      <c r="AO18" s="13">
        <v>7.7341216130901804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198.489403511299</v>
      </c>
      <c r="AV18" s="13">
        <v>0</v>
      </c>
      <c r="AW18" s="13">
        <v>0</v>
      </c>
      <c r="AX18" s="13">
        <v>323.16467824630502</v>
      </c>
      <c r="AY18" s="13">
        <v>0</v>
      </c>
      <c r="AZ18" s="13">
        <v>0</v>
      </c>
      <c r="BA18" s="13">
        <v>16.235869098814302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101"/>
      <c r="B19" s="101"/>
      <c r="C19" s="101"/>
      <c r="D19" s="101"/>
      <c r="E19" s="101"/>
      <c r="F19" s="101"/>
      <c r="G19" s="18" t="s">
        <v>75</v>
      </c>
      <c r="H19" s="18" t="s">
        <v>73</v>
      </c>
      <c r="I19" s="18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1.3756112304213697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95.440988609165089</v>
      </c>
      <c r="R19" s="13">
        <f>('TUSD BE'!$R$19+'TUSD BF'!$R$19+'TUSD CVA'!$R$19)*1</f>
        <v>15.082737833753715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61.289038395961718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122.6051371514846</v>
      </c>
      <c r="AB19" s="13">
        <f ca="1">('TUSD BE'!$AE$19+'TUSD BF'!$AE$19+'TUSD CVA'!$AE$19)*1</f>
        <v>-3.8195476883454424</v>
      </c>
      <c r="AC19" s="13">
        <f ca="1">('TUSD BE'!$AF$19+'TUSD BF'!$AF$19+'TUSD CVA'!$AF$19)*1</f>
        <v>0</v>
      </c>
      <c r="AD19" s="13">
        <f>('TUSD BE'!$AH$19+'TUSD BF'!$AH$19+'TUSD CVA'!$AH$19)*1</f>
        <v>13.982150816459503</v>
      </c>
      <c r="AE19" s="13">
        <f>('TUSD BE'!$AI$19+'TUSD BF'!$AI$19+'TUSD CVA'!$AI$19)*1</f>
        <v>0.31582367083431906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0.97733990997999298</v>
      </c>
      <c r="AK19" s="13">
        <v>0</v>
      </c>
      <c r="AL19" s="13">
        <v>0</v>
      </c>
      <c r="AM19" s="13">
        <v>0</v>
      </c>
      <c r="AN19" s="13">
        <v>48.084108316310903</v>
      </c>
      <c r="AO19" s="13">
        <v>7.7341216130901804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66.163238376246895</v>
      </c>
      <c r="AV19" s="13">
        <v>0</v>
      </c>
      <c r="AW19" s="13">
        <v>0</v>
      </c>
      <c r="AX19" s="13">
        <v>107.72158277238201</v>
      </c>
      <c r="AY19" s="13">
        <v>0</v>
      </c>
      <c r="AZ19" s="13">
        <v>0</v>
      </c>
      <c r="BA19" s="13">
        <v>16.235869098814302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101"/>
      <c r="B20" s="101" t="s">
        <v>23</v>
      </c>
      <c r="C20" s="101" t="s">
        <v>24</v>
      </c>
      <c r="D20" s="17" t="s">
        <v>24</v>
      </c>
      <c r="E20" s="17" t="s">
        <v>25</v>
      </c>
      <c r="F20" s="17" t="s">
        <v>25</v>
      </c>
      <c r="G20" s="18" t="s">
        <v>79</v>
      </c>
      <c r="H20" s="18" t="s">
        <v>73</v>
      </c>
      <c r="I20" s="18">
        <f>'MERCADO TUSD'!$U$17</f>
        <v>6839.3490000000002</v>
      </c>
      <c r="J20" s="15"/>
      <c r="L20" s="13">
        <f>('TUSD BE'!$L$20+'TUSD BF'!$L$20+'TUSD CVA'!$L$20)*1</f>
        <v>0</v>
      </c>
      <c r="M20" s="13">
        <f>('TUSD BE'!$M$20+'TUSD BF'!$M$20+'TUSD CVA'!$M$20)*1</f>
        <v>1.3756112304213697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95.440988609165089</v>
      </c>
      <c r="R20" s="13">
        <f>('TUSD BE'!$R$20+'TUSD BF'!$R$20+'TUSD CVA'!$R$20)*1</f>
        <v>15.082737833753715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105.66737026372195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211.38825057558714</v>
      </c>
      <c r="AB20" s="13">
        <f ca="1">('TUSD BE'!$AE$20+'TUSD BF'!$AE$20+'TUSD CVA'!$AE$20)*1</f>
        <v>-5.6501506854027417</v>
      </c>
      <c r="AC20" s="13">
        <f ca="1">('TUSD BE'!$AF$20+'TUSD BF'!$AF$20+'TUSD CVA'!$AF$20)*1</f>
        <v>0</v>
      </c>
      <c r="AD20" s="13">
        <f>('TUSD BE'!$AH$20+'TUSD BF'!$AH$20+'TUSD CVA'!$AH$20)*1</f>
        <v>13.982150816459503</v>
      </c>
      <c r="AE20" s="13">
        <f>('TUSD BE'!$AI$20+'TUSD BF'!$AI$20+'TUSD CVA'!$AI$20)*1</f>
        <v>0.31582367083431906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0.97733990997999298</v>
      </c>
      <c r="AK20" s="13">
        <v>0</v>
      </c>
      <c r="AL20" s="13">
        <v>0</v>
      </c>
      <c r="AM20" s="13">
        <v>0</v>
      </c>
      <c r="AN20" s="13">
        <v>48.084108316310903</v>
      </c>
      <c r="AO20" s="13">
        <v>7.7341216130901804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112.14083375601599</v>
      </c>
      <c r="AV20" s="13">
        <v>0</v>
      </c>
      <c r="AW20" s="13">
        <v>0</v>
      </c>
      <c r="AX20" s="13">
        <v>182.57889090650301</v>
      </c>
      <c r="AY20" s="13">
        <v>0</v>
      </c>
      <c r="AZ20" s="13">
        <v>0</v>
      </c>
      <c r="BA20" s="13">
        <v>16.235869098814302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101"/>
      <c r="B21" s="101"/>
      <c r="C21" s="101"/>
      <c r="D21" s="17" t="s">
        <v>29</v>
      </c>
      <c r="E21" s="17" t="s">
        <v>25</v>
      </c>
      <c r="F21" s="17" t="s">
        <v>25</v>
      </c>
      <c r="G21" s="18" t="s">
        <v>79</v>
      </c>
      <c r="H21" s="18" t="s">
        <v>73</v>
      </c>
      <c r="I21" s="18">
        <f>'MERCADO TUSD'!$U$18</f>
        <v>69.570000000000007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0.48146393064747933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36.983579592302682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73.985887701455496</v>
      </c>
      <c r="AB21" s="13">
        <f ca="1">('TUSD BE'!$AE$21+'TUSD BF'!$AE$21+'TUSD CVA'!$AE$21)*(1 - 0.65)</f>
        <v>-1.5867702109629243</v>
      </c>
      <c r="AC21" s="13">
        <f ca="1">('TUSD BE'!$AF$21+'TUSD BF'!$AF$21+'TUSD CVA'!$AF$21)*(1 - 0.65)</f>
        <v>0</v>
      </c>
      <c r="AD21" s="13">
        <f>('TUSD BE'!$AH$21+'TUSD BF'!$AH$21+'TUSD CVA'!$AH$21)*(1 - 0.65)</f>
        <v>4.8937527857608263</v>
      </c>
      <c r="AE21" s="13">
        <f>('TUSD BE'!$AI$21+'TUSD BF'!$AI$21+'TUSD CVA'!$AI$21)*(1 - 0.65)</f>
        <v>0.11053828479201167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0.342068968492998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39.249291814605598</v>
      </c>
      <c r="AV21" s="13">
        <v>0</v>
      </c>
      <c r="AW21" s="13">
        <v>0</v>
      </c>
      <c r="AX21" s="13">
        <v>63.902611817276103</v>
      </c>
      <c r="AY21" s="13">
        <v>0</v>
      </c>
      <c r="AZ21" s="13">
        <v>0</v>
      </c>
      <c r="BA21" s="13">
        <v>5.6825541845850198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101"/>
      <c r="B22" s="101"/>
      <c r="C22" s="101"/>
      <c r="D22" s="17" t="s">
        <v>30</v>
      </c>
      <c r="E22" s="17" t="s">
        <v>25</v>
      </c>
      <c r="F22" s="17" t="s">
        <v>25</v>
      </c>
      <c r="G22" s="18" t="s">
        <v>79</v>
      </c>
      <c r="H22" s="18" t="s">
        <v>73</v>
      </c>
      <c r="I22" s="18">
        <f>'MERCADO TUSD'!$U$19</f>
        <v>149.51999999999998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0.82536673825282181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63.40042215823317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126.83295034535227</v>
      </c>
      <c r="AB22" s="13">
        <f ca="1">('TUSD BE'!$AE$22+'TUSD BF'!$AE$22+'TUSD CVA'!$AE$22)*(1 - 0.4)</f>
        <v>-2.7201775045078702</v>
      </c>
      <c r="AC22" s="13">
        <f ca="1">('TUSD BE'!$AF$22+'TUSD BF'!$AF$22+'TUSD CVA'!$AF$22)*(1 - 0.4)</f>
        <v>0</v>
      </c>
      <c r="AD22" s="13">
        <f>('TUSD BE'!$AH$22+'TUSD BF'!$AH$22+'TUSD CVA'!$AH$22)*(1 - 0.4)</f>
        <v>8.3892904898757017</v>
      </c>
      <c r="AE22" s="13">
        <f>('TUSD BE'!$AI$22+'TUSD BF'!$AI$22+'TUSD CVA'!$AI$22)*(1 - 0.4)</f>
        <v>0.18949420250059143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0.58640394598799594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67.284500253609707</v>
      </c>
      <c r="AV22" s="13">
        <v>0</v>
      </c>
      <c r="AW22" s="13">
        <v>0</v>
      </c>
      <c r="AX22" s="13">
        <v>109.547334543902</v>
      </c>
      <c r="AY22" s="13">
        <v>0</v>
      </c>
      <c r="AZ22" s="13">
        <v>0</v>
      </c>
      <c r="BA22" s="13">
        <v>9.7415214592886095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101"/>
      <c r="B23" s="101"/>
      <c r="C23" s="101"/>
      <c r="D23" s="17" t="s">
        <v>31</v>
      </c>
      <c r="E23" s="17" t="s">
        <v>25</v>
      </c>
      <c r="F23" s="17" t="s">
        <v>25</v>
      </c>
      <c r="G23" s="18" t="s">
        <v>79</v>
      </c>
      <c r="H23" s="18" t="s">
        <v>73</v>
      </c>
      <c r="I23" s="18">
        <f>'MERCADO TUSD'!$U$20</f>
        <v>134.06700000000001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1.2380501073792327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95.100633237349754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190.24942551802843</v>
      </c>
      <c r="AB23" s="13">
        <f ca="1">('TUSD BE'!$AE$23+'TUSD BF'!$AE$23+'TUSD CVA'!$AE$23)*(1 - 0.1)</f>
        <v>-4.0802662567618055</v>
      </c>
      <c r="AC23" s="13">
        <f ca="1">('TUSD BE'!$AF$23+'TUSD BF'!$AF$23+'TUSD CVA'!$AF$23)*(1 - 0.1)</f>
        <v>0</v>
      </c>
      <c r="AD23" s="13">
        <f>('TUSD BE'!$AH$23+'TUSD BF'!$AH$23+'TUSD CVA'!$AH$23)*(1 - 0.1)</f>
        <v>12.583935734813553</v>
      </c>
      <c r="AE23" s="13">
        <f>('TUSD BE'!$AI$23+'TUSD BF'!$AI$23+'TUSD CVA'!$AI$23)*(1 - 0.1)</f>
        <v>0.28424130375088719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0.87960591898199403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100.926750380415</v>
      </c>
      <c r="AV23" s="13">
        <v>0</v>
      </c>
      <c r="AW23" s="13">
        <v>0</v>
      </c>
      <c r="AX23" s="13">
        <v>164.32100181585301</v>
      </c>
      <c r="AY23" s="13">
        <v>0</v>
      </c>
      <c r="AZ23" s="13">
        <v>0</v>
      </c>
      <c r="BA23" s="13">
        <v>14.6122821889329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101"/>
      <c r="B24" s="101"/>
      <c r="C24" s="101"/>
      <c r="D24" s="17" t="s">
        <v>32</v>
      </c>
      <c r="E24" s="17" t="s">
        <v>25</v>
      </c>
      <c r="F24" s="17" t="s">
        <v>25</v>
      </c>
      <c r="G24" s="18" t="s">
        <v>79</v>
      </c>
      <c r="H24" s="18" t="s">
        <v>73</v>
      </c>
      <c r="I24" s="18">
        <f>'MERCADO TUSD'!$U$21</f>
        <v>36.650999999999996</v>
      </c>
      <c r="J24" s="15"/>
      <c r="L24" s="13">
        <f>('TUSD BE'!$L$24+'TUSD BF'!$L$24+'TUSD CVA'!$L$24)*1</f>
        <v>0</v>
      </c>
      <c r="M24" s="13">
        <f>('TUSD BE'!$M$24+'TUSD BF'!$M$24+'TUSD CVA'!$M$24)*1</f>
        <v>1.3756112304213697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105.66737026372195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211.38825057558714</v>
      </c>
      <c r="AB24" s="13">
        <f ca="1">('TUSD BE'!$AE$24+'TUSD BF'!$AE$24+'TUSD CVA'!$AE$24)*1</f>
        <v>-4.5336291741797838</v>
      </c>
      <c r="AC24" s="13">
        <f ca="1">('TUSD BE'!$AF$24+'TUSD BF'!$AF$24+'TUSD CVA'!$AF$24)*1</f>
        <v>0</v>
      </c>
      <c r="AD24" s="13">
        <f>('TUSD BE'!$AH$24+'TUSD BF'!$AH$24+'TUSD CVA'!$AH$24)*1</f>
        <v>13.982150816459503</v>
      </c>
      <c r="AE24" s="13">
        <f>('TUSD BE'!$AI$24+'TUSD BF'!$AI$24+'TUSD CVA'!$AI$24)*1</f>
        <v>0.31582367083431906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0.97733990997999298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112.14083375601599</v>
      </c>
      <c r="AV24" s="13">
        <v>0</v>
      </c>
      <c r="AW24" s="13">
        <v>0</v>
      </c>
      <c r="AX24" s="13">
        <v>182.57889090650301</v>
      </c>
      <c r="AY24" s="13">
        <v>0</v>
      </c>
      <c r="AZ24" s="13">
        <v>0</v>
      </c>
      <c r="BA24" s="13">
        <v>16.235869098814302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101"/>
      <c r="B25" s="101" t="s">
        <v>89</v>
      </c>
      <c r="C25" s="101" t="s">
        <v>24</v>
      </c>
      <c r="D25" s="17" t="s">
        <v>24</v>
      </c>
      <c r="E25" s="17" t="s">
        <v>25</v>
      </c>
      <c r="F25" s="17" t="s">
        <v>25</v>
      </c>
      <c r="G25" s="18" t="s">
        <v>79</v>
      </c>
      <c r="H25" s="18" t="s">
        <v>73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1.3756112304213697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95.440988609165089</v>
      </c>
      <c r="R25" s="13">
        <f>('TUSD BE'!$R$25+'TUSD BF'!$R$25+'TUSD CVA'!$R$25)*1</f>
        <v>15.082737833753715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105.66737026372195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211.38825057558714</v>
      </c>
      <c r="AB25" s="13">
        <f ca="1">('TUSD BE'!$AE$25+'TUSD BF'!$AE$25+'TUSD CVA'!$AE$25)*1</f>
        <v>-5.6501506854027417</v>
      </c>
      <c r="AC25" s="13">
        <f ca="1">('TUSD BE'!$AF$25+'TUSD BF'!$AF$25+'TUSD CVA'!$AF$25)*1</f>
        <v>0</v>
      </c>
      <c r="AD25" s="13">
        <f>('TUSD BE'!$AH$25+'TUSD BF'!$AH$25+'TUSD CVA'!$AH$25)*1</f>
        <v>13.982150816459503</v>
      </c>
      <c r="AE25" s="13">
        <f>('TUSD BE'!$AI$25+'TUSD BF'!$AI$25+'TUSD CVA'!$AI$25)*1</f>
        <v>0.31582367083431906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0.97733990997999298</v>
      </c>
      <c r="AK25" s="13">
        <v>0</v>
      </c>
      <c r="AL25" s="13">
        <v>0</v>
      </c>
      <c r="AM25" s="13">
        <v>0</v>
      </c>
      <c r="AN25" s="13">
        <v>48.084108316310903</v>
      </c>
      <c r="AO25" s="13">
        <v>7.7341216130901804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112.14083375601599</v>
      </c>
      <c r="AV25" s="13">
        <v>0</v>
      </c>
      <c r="AW25" s="13">
        <v>0</v>
      </c>
      <c r="AX25" s="13">
        <v>182.57889090650301</v>
      </c>
      <c r="AY25" s="13">
        <v>0</v>
      </c>
      <c r="AZ25" s="13">
        <v>0</v>
      </c>
      <c r="BA25" s="13">
        <v>16.235869098814302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101"/>
      <c r="B26" s="101"/>
      <c r="C26" s="101"/>
      <c r="D26" s="17" t="s">
        <v>29</v>
      </c>
      <c r="E26" s="17" t="s">
        <v>25</v>
      </c>
      <c r="F26" s="17" t="s">
        <v>25</v>
      </c>
      <c r="G26" s="18" t="s">
        <v>79</v>
      </c>
      <c r="H26" s="18" t="s">
        <v>73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0.48146393064747933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36.983579592302682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73.985887701455496</v>
      </c>
      <c r="AB26" s="13">
        <f ca="1">('TUSD BE'!$AE$26+'TUSD BF'!$AE$26+'TUSD CVA'!$AE$26)*(1 - 0.65)</f>
        <v>-1.5867702109629243</v>
      </c>
      <c r="AC26" s="13">
        <f ca="1">('TUSD BE'!$AF$26+'TUSD BF'!$AF$26+'TUSD CVA'!$AF$26)*(1 - 0.65)</f>
        <v>0</v>
      </c>
      <c r="AD26" s="13">
        <f>('TUSD BE'!$AH$26+'TUSD BF'!$AH$26+'TUSD CVA'!$AH$26)*(1 - 0.65)</f>
        <v>4.8937527857608263</v>
      </c>
      <c r="AE26" s="13">
        <f>('TUSD BE'!$AI$26+'TUSD BF'!$AI$26+'TUSD CVA'!$AI$26)*(1 - 0.65)</f>
        <v>0.11053828479201167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0.342068968492998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39.249291814605598</v>
      </c>
      <c r="AV26" s="13">
        <v>0</v>
      </c>
      <c r="AW26" s="13">
        <v>0</v>
      </c>
      <c r="AX26" s="13">
        <v>63.902611817276103</v>
      </c>
      <c r="AY26" s="13">
        <v>0</v>
      </c>
      <c r="AZ26" s="13">
        <v>0</v>
      </c>
      <c r="BA26" s="13">
        <v>5.6825541845850198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101"/>
      <c r="B27" s="101"/>
      <c r="C27" s="101"/>
      <c r="D27" s="17" t="s">
        <v>30</v>
      </c>
      <c r="E27" s="17" t="s">
        <v>25</v>
      </c>
      <c r="F27" s="17" t="s">
        <v>25</v>
      </c>
      <c r="G27" s="18" t="s">
        <v>79</v>
      </c>
      <c r="H27" s="18" t="s">
        <v>73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0.82536673825282181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63.40042215823317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126.83295034535227</v>
      </c>
      <c r="AB27" s="13">
        <f ca="1">('TUSD BE'!$AE$27+'TUSD BF'!$AE$27+'TUSD CVA'!$AE$27)*(1 - 0.4)</f>
        <v>-2.7201775045078702</v>
      </c>
      <c r="AC27" s="13">
        <f ca="1">('TUSD BE'!$AF$27+'TUSD BF'!$AF$27+'TUSD CVA'!$AF$27)*(1 - 0.4)</f>
        <v>0</v>
      </c>
      <c r="AD27" s="13">
        <f>('TUSD BE'!$AH$27+'TUSD BF'!$AH$27+'TUSD CVA'!$AH$27)*(1 - 0.4)</f>
        <v>8.3892904898757017</v>
      </c>
      <c r="AE27" s="13">
        <f>('TUSD BE'!$AI$27+'TUSD BF'!$AI$27+'TUSD CVA'!$AI$27)*(1 - 0.4)</f>
        <v>0.18949420250059143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0.58640394598799594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67.284500253609707</v>
      </c>
      <c r="AV27" s="13">
        <v>0</v>
      </c>
      <c r="AW27" s="13">
        <v>0</v>
      </c>
      <c r="AX27" s="13">
        <v>109.547334543902</v>
      </c>
      <c r="AY27" s="13">
        <v>0</v>
      </c>
      <c r="AZ27" s="13">
        <v>0</v>
      </c>
      <c r="BA27" s="13">
        <v>9.7415214592886095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101"/>
      <c r="B28" s="101"/>
      <c r="C28" s="101"/>
      <c r="D28" s="17" t="s">
        <v>31</v>
      </c>
      <c r="E28" s="17" t="s">
        <v>25</v>
      </c>
      <c r="F28" s="17" t="s">
        <v>25</v>
      </c>
      <c r="G28" s="18" t="s">
        <v>79</v>
      </c>
      <c r="H28" s="18" t="s">
        <v>73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1.2380501073792327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95.100633237349754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190.24942551802843</v>
      </c>
      <c r="AB28" s="13">
        <f ca="1">('TUSD BE'!$AE$28+'TUSD BF'!$AE$28+'TUSD CVA'!$AE$28)*(1 - 0.1)</f>
        <v>-4.0802662567618055</v>
      </c>
      <c r="AC28" s="13">
        <f ca="1">('TUSD BE'!$AF$28+'TUSD BF'!$AF$28+'TUSD CVA'!$AF$28)*(1 - 0.1)</f>
        <v>0</v>
      </c>
      <c r="AD28" s="13">
        <f>('TUSD BE'!$AH$28+'TUSD BF'!$AH$28+'TUSD CVA'!$AH$28)*(1 - 0.1)</f>
        <v>12.583935734813553</v>
      </c>
      <c r="AE28" s="13">
        <f>('TUSD BE'!$AI$28+'TUSD BF'!$AI$28+'TUSD CVA'!$AI$28)*(1 - 0.1)</f>
        <v>0.28424130375088719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0.87960591898199403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100.926750380415</v>
      </c>
      <c r="AV28" s="13">
        <v>0</v>
      </c>
      <c r="AW28" s="13">
        <v>0</v>
      </c>
      <c r="AX28" s="13">
        <v>164.32100181585301</v>
      </c>
      <c r="AY28" s="13">
        <v>0</v>
      </c>
      <c r="AZ28" s="13">
        <v>0</v>
      </c>
      <c r="BA28" s="13">
        <v>14.6122821889329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101"/>
      <c r="B29" s="101"/>
      <c r="C29" s="101"/>
      <c r="D29" s="17" t="s">
        <v>32</v>
      </c>
      <c r="E29" s="17" t="s">
        <v>25</v>
      </c>
      <c r="F29" s="17" t="s">
        <v>25</v>
      </c>
      <c r="G29" s="18" t="s">
        <v>79</v>
      </c>
      <c r="H29" s="18" t="s">
        <v>73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1.3756112304213697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105.66737026372195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211.38825057558714</v>
      </c>
      <c r="AB29" s="13">
        <f ca="1">('TUSD BE'!$AE$29+'TUSD BF'!$AE$29+'TUSD CVA'!$AE$29)*1</f>
        <v>-4.5336291741797838</v>
      </c>
      <c r="AC29" s="13">
        <f ca="1">('TUSD BE'!$AF$29+'TUSD BF'!$AF$29+'TUSD CVA'!$AF$29)*1</f>
        <v>0</v>
      </c>
      <c r="AD29" s="13">
        <f>('TUSD BE'!$AH$29+'TUSD BF'!$AH$29+'TUSD CVA'!$AH$29)*1</f>
        <v>13.982150816459503</v>
      </c>
      <c r="AE29" s="13">
        <f>('TUSD BE'!$AI$29+'TUSD BF'!$AI$29+'TUSD CVA'!$AI$29)*1</f>
        <v>0.31582367083431906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0.97733990997999298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112.14083375601599</v>
      </c>
      <c r="AV29" s="13">
        <v>0</v>
      </c>
      <c r="AW29" s="13">
        <v>0</v>
      </c>
      <c r="AX29" s="13">
        <v>182.57889090650301</v>
      </c>
      <c r="AY29" s="13">
        <v>0</v>
      </c>
      <c r="AZ29" s="13">
        <v>0</v>
      </c>
      <c r="BA29" s="13">
        <v>16.235869098814302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101" t="s">
        <v>40</v>
      </c>
      <c r="B30" s="101" t="s">
        <v>87</v>
      </c>
      <c r="C30" s="101" t="s">
        <v>41</v>
      </c>
      <c r="D30" s="101" t="s">
        <v>25</v>
      </c>
      <c r="E30" s="101" t="s">
        <v>25</v>
      </c>
      <c r="F30" s="101" t="s">
        <v>25</v>
      </c>
      <c r="G30" s="18" t="s">
        <v>74</v>
      </c>
      <c r="H30" s="18" t="s">
        <v>73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1.2930745565960875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89.714529292615182</v>
      </c>
      <c r="R30" s="13">
        <f>('TUSD BE'!$R$30+'TUSD BF'!$R$30+'TUSD CVA'!$R$30)*(1 - CUSTOS!$M$38)</f>
        <v>14.177773563728492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307.92746192664328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615.98558863433368</v>
      </c>
      <c r="AB30" s="13">
        <f ca="1">('TUSD BE'!$AE$30+'TUSD BF'!$AE$30+'TUSD CVA'!$AE$30)*(1 - CUSTOS!$M$38)</f>
        <v>-13.915237445584532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13.143221767471932</v>
      </c>
      <c r="AE30" s="13">
        <f>('TUSD BE'!$AI$30+'TUSD BF'!$AI$30+'TUSD CVA'!$AI$30)*(1 - CUSTOS!$M$38)</f>
        <v>0.29687425058425992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0.86005912078239399</v>
      </c>
      <c r="AK30" s="13">
        <v>0</v>
      </c>
      <c r="AL30" s="13">
        <v>0</v>
      </c>
      <c r="AM30" s="13">
        <v>0</v>
      </c>
      <c r="AN30" s="13">
        <v>42.314015318353597</v>
      </c>
      <c r="AO30" s="13">
        <v>6.8060270195193597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310.85364619824702</v>
      </c>
      <c r="AV30" s="13">
        <v>0</v>
      </c>
      <c r="AW30" s="13">
        <v>0</v>
      </c>
      <c r="AX30" s="13">
        <v>506.10868867594297</v>
      </c>
      <c r="AY30" s="13">
        <v>0</v>
      </c>
      <c r="AZ30" s="13">
        <v>0</v>
      </c>
      <c r="BA30" s="13">
        <v>14.287564806956601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101"/>
      <c r="B31" s="101"/>
      <c r="C31" s="101"/>
      <c r="D31" s="101"/>
      <c r="E31" s="101"/>
      <c r="F31" s="101"/>
      <c r="G31" s="18" t="s">
        <v>85</v>
      </c>
      <c r="H31" s="18" t="s">
        <v>73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1.2930745565960875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89.714529292615182</v>
      </c>
      <c r="R31" s="13">
        <f>('TUSD BE'!$R$31+'TUSD BF'!$R$31+'TUSD CVA'!$R$31)*(1 - CUSTOS!$M$38)</f>
        <v>14.177773563728492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184.75823508400771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369.59133348868085</v>
      </c>
      <c r="AB31" s="13">
        <f ca="1">('TUSD BE'!$AE$31+'TUSD BF'!$AE$31+'TUSD CVA'!$AE$31)*(1 - CUSTOS!$M$38)</f>
        <v>-8.8347739286395104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13.143221767471932</v>
      </c>
      <c r="AE31" s="13">
        <f>('TUSD BE'!$AI$31+'TUSD BF'!$AI$31+'TUSD CVA'!$AI$31)*(1 - CUSTOS!$M$38)</f>
        <v>0.29687425058425992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0.86005912078239399</v>
      </c>
      <c r="AK31" s="13">
        <v>0</v>
      </c>
      <c r="AL31" s="13">
        <v>0</v>
      </c>
      <c r="AM31" s="13">
        <v>0</v>
      </c>
      <c r="AN31" s="13">
        <v>42.314015318353597</v>
      </c>
      <c r="AO31" s="13">
        <v>6.8060270195193597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186.51118223333799</v>
      </c>
      <c r="AV31" s="13">
        <v>0</v>
      </c>
      <c r="AW31" s="13">
        <v>0</v>
      </c>
      <c r="AX31" s="13">
        <v>303.66518854063099</v>
      </c>
      <c r="AY31" s="13">
        <v>0</v>
      </c>
      <c r="AZ31" s="13">
        <v>0</v>
      </c>
      <c r="BA31" s="13">
        <v>14.287564806956601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101"/>
      <c r="B32" s="101"/>
      <c r="C32" s="101"/>
      <c r="D32" s="101"/>
      <c r="E32" s="101"/>
      <c r="F32" s="101"/>
      <c r="G32" s="18" t="s">
        <v>75</v>
      </c>
      <c r="H32" s="18" t="s">
        <v>73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1.2930745565960875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89.714529292615182</v>
      </c>
      <c r="R32" s="13">
        <f>('TUSD BE'!$R$32+'TUSD BF'!$R$32+'TUSD CVA'!$R$32)*(1 - CUSTOS!$M$38)</f>
        <v>14.177773563728492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61.589008241372127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123.19707834302798</v>
      </c>
      <c r="AB32" s="13">
        <f ca="1">('TUSD BE'!$AE$32+'TUSD BF'!$AE$32+'TUSD CVA'!$AE$32)*(1 - CUSTOS!$M$38)</f>
        <v>-3.7543104116944948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13.143221767471932</v>
      </c>
      <c r="AE32" s="13">
        <f>('TUSD BE'!$AI$32+'TUSD BF'!$AI$32+'TUSD CVA'!$AI$32)*(1 - CUSTOS!$M$38)</f>
        <v>0.29687425058425992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0.86005912078239399</v>
      </c>
      <c r="AK32" s="13">
        <v>0</v>
      </c>
      <c r="AL32" s="13">
        <v>0</v>
      </c>
      <c r="AM32" s="13">
        <v>0</v>
      </c>
      <c r="AN32" s="13">
        <v>42.314015318353597</v>
      </c>
      <c r="AO32" s="13">
        <v>6.8060270195193597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62.173745696481397</v>
      </c>
      <c r="AV32" s="13">
        <v>0</v>
      </c>
      <c r="AW32" s="13">
        <v>0</v>
      </c>
      <c r="AX32" s="13">
        <v>101.22168840531801</v>
      </c>
      <c r="AY32" s="13">
        <v>0</v>
      </c>
      <c r="AZ32" s="13">
        <v>0</v>
      </c>
      <c r="BA32" s="13">
        <v>14.287564806956601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101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79</v>
      </c>
      <c r="H33" s="18" t="s">
        <v>73</v>
      </c>
      <c r="I33" s="18">
        <f>'MERCADO TUSD'!$U$30</f>
        <v>5066.7939999999999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1.2930745565960875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89.714529292615182</v>
      </c>
      <c r="R33" s="13">
        <f>('TUSD BE'!$R$33+'TUSD BF'!$R$33+'TUSD CVA'!$R$33)*(1 - CUSTOS!$M$38)</f>
        <v>14.177773563728492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99.327328047898632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198.7049555410519</v>
      </c>
      <c r="AB33" s="13">
        <f ca="1">('TUSD BE'!$AE$33+'TUSD BF'!$AE$33+'TUSD CVA'!$AE$33)*(1 - CUSTOS!$M$38)</f>
        <v>-5.3111416442785773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13.143221767471932</v>
      </c>
      <c r="AE33" s="13">
        <f>('TUSD BE'!$AI$33+'TUSD BF'!$AI$33+'TUSD CVA'!$AI$33)*(1 - CUSTOS!$M$38)</f>
        <v>0.29687425058425992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0.86005912078239399</v>
      </c>
      <c r="AK33" s="13">
        <v>0</v>
      </c>
      <c r="AL33" s="13">
        <v>0</v>
      </c>
      <c r="AM33" s="13">
        <v>0</v>
      </c>
      <c r="AN33" s="13">
        <v>42.314015318353597</v>
      </c>
      <c r="AO33" s="13">
        <v>6.8060270195193597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98.683933705294194</v>
      </c>
      <c r="AV33" s="13">
        <v>0</v>
      </c>
      <c r="AW33" s="13">
        <v>0</v>
      </c>
      <c r="AX33" s="13">
        <v>160.66942399772299</v>
      </c>
      <c r="AY33" s="13">
        <v>0</v>
      </c>
      <c r="AZ33" s="13">
        <v>0</v>
      </c>
      <c r="BA33" s="13">
        <v>14.287564806956601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101"/>
      <c r="B34" s="101" t="s">
        <v>87</v>
      </c>
      <c r="C34" s="101" t="s">
        <v>41</v>
      </c>
      <c r="D34" s="101" t="s">
        <v>90</v>
      </c>
      <c r="E34" s="101" t="s">
        <v>25</v>
      </c>
      <c r="F34" s="101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1.2930745565960875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89.714529292615182</v>
      </c>
      <c r="R34" s="13">
        <f>('TUSD BE'!$R$34+'TUSD BF'!$R$34+'TUSD CVA'!$R$34)*(1 - CUSTOS!$M$39)</f>
        <v>14.177773563728492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307.92746192664328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615.98558863433368</v>
      </c>
      <c r="AB34" s="13">
        <f ca="1">('TUSD BE'!$AE$34+'TUSD BF'!$AE$34+'TUSD CVA'!$AE$34)*(1 - CUSTOS!$M$39)</f>
        <v>-13.915237445584532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13.143221767471932</v>
      </c>
      <c r="AE34" s="13">
        <f>('TUSD BE'!$AI$34+'TUSD BF'!$AI$34+'TUSD CVA'!$AI$34)*(1 - CUSTOS!$M$39)</f>
        <v>0.29687425058425992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0.86005912078239399</v>
      </c>
      <c r="AK34" s="13">
        <v>0</v>
      </c>
      <c r="AL34" s="13">
        <v>0</v>
      </c>
      <c r="AM34" s="13">
        <v>0</v>
      </c>
      <c r="AN34" s="13">
        <v>42.314015318353597</v>
      </c>
      <c r="AO34" s="13">
        <v>6.8060270195193597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310.85364619824702</v>
      </c>
      <c r="AV34" s="13">
        <v>0</v>
      </c>
      <c r="AW34" s="13">
        <v>0</v>
      </c>
      <c r="AX34" s="13">
        <v>506.10868867594297</v>
      </c>
      <c r="AY34" s="13">
        <v>0</v>
      </c>
      <c r="AZ34" s="13">
        <v>0</v>
      </c>
      <c r="BA34" s="13">
        <v>14.287564806956601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101"/>
      <c r="B35" s="101"/>
      <c r="C35" s="101"/>
      <c r="D35" s="101"/>
      <c r="E35" s="101"/>
      <c r="F35" s="101"/>
      <c r="G35" s="18" t="s">
        <v>85</v>
      </c>
      <c r="H35" s="18" t="s">
        <v>73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1.2930745565960875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89.714529292615182</v>
      </c>
      <c r="R35" s="13">
        <f>('TUSD BE'!$R$35+'TUSD BF'!$R$35+'TUSD CVA'!$R$35)*(1 - CUSTOS!$M$39)</f>
        <v>14.177773563728492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184.75823508400771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369.59133348868085</v>
      </c>
      <c r="AB35" s="13">
        <f ca="1">('TUSD BE'!$AE$35+'TUSD BF'!$AE$35+'TUSD CVA'!$AE$35)*(1 - CUSTOS!$M$39)</f>
        <v>-8.8347739286395104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13.143221767471932</v>
      </c>
      <c r="AE35" s="13">
        <f>('TUSD BE'!$AI$35+'TUSD BF'!$AI$35+'TUSD CVA'!$AI$35)*(1 - CUSTOS!$M$39)</f>
        <v>0.29687425058425992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0.86005912078239399</v>
      </c>
      <c r="AK35" s="13">
        <v>0</v>
      </c>
      <c r="AL35" s="13">
        <v>0</v>
      </c>
      <c r="AM35" s="13">
        <v>0</v>
      </c>
      <c r="AN35" s="13">
        <v>42.314015318353597</v>
      </c>
      <c r="AO35" s="13">
        <v>6.8060270195193597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186.51118223333799</v>
      </c>
      <c r="AV35" s="13">
        <v>0</v>
      </c>
      <c r="AW35" s="13">
        <v>0</v>
      </c>
      <c r="AX35" s="13">
        <v>303.66518854063099</v>
      </c>
      <c r="AY35" s="13">
        <v>0</v>
      </c>
      <c r="AZ35" s="13">
        <v>0</v>
      </c>
      <c r="BA35" s="13">
        <v>14.287564806956601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101"/>
      <c r="B36" s="101"/>
      <c r="C36" s="101"/>
      <c r="D36" s="101"/>
      <c r="E36" s="101"/>
      <c r="F36" s="101"/>
      <c r="G36" s="18" t="s">
        <v>75</v>
      </c>
      <c r="H36" s="18" t="s">
        <v>73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1.2930745565960875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89.714529292615182</v>
      </c>
      <c r="R36" s="13">
        <f>('TUSD BE'!$R$36+'TUSD BF'!$R$36+'TUSD CVA'!$R$36)*(1 - CUSTOS!$M$39)</f>
        <v>14.177773563728492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61.589008241372127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123.19707834302798</v>
      </c>
      <c r="AB36" s="13">
        <f ca="1">('TUSD BE'!$AE$36+'TUSD BF'!$AE$36+'TUSD CVA'!$AE$36)*(1 - CUSTOS!$M$39)</f>
        <v>-3.7543104116944948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13.143221767471932</v>
      </c>
      <c r="AE36" s="13">
        <f>('TUSD BE'!$AI$36+'TUSD BF'!$AI$36+'TUSD CVA'!$AI$36)*(1 - CUSTOS!$M$39)</f>
        <v>0.29687425058425992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0.86005912078239399</v>
      </c>
      <c r="AK36" s="13">
        <v>0</v>
      </c>
      <c r="AL36" s="13">
        <v>0</v>
      </c>
      <c r="AM36" s="13">
        <v>0</v>
      </c>
      <c r="AN36" s="13">
        <v>42.314015318353597</v>
      </c>
      <c r="AO36" s="13">
        <v>6.8060270195193597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62.173745696481397</v>
      </c>
      <c r="AV36" s="13">
        <v>0</v>
      </c>
      <c r="AW36" s="13">
        <v>0</v>
      </c>
      <c r="AX36" s="13">
        <v>101.22168840531801</v>
      </c>
      <c r="AY36" s="13">
        <v>0</v>
      </c>
      <c r="AZ36" s="13">
        <v>0</v>
      </c>
      <c r="BA36" s="13">
        <v>14.287564806956601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101"/>
      <c r="B37" s="17" t="s">
        <v>23</v>
      </c>
      <c r="C37" s="17" t="s">
        <v>41</v>
      </c>
      <c r="D37" s="17" t="s">
        <v>90</v>
      </c>
      <c r="E37" s="17" t="s">
        <v>25</v>
      </c>
      <c r="F37" s="17" t="s">
        <v>25</v>
      </c>
      <c r="G37" s="18" t="s">
        <v>79</v>
      </c>
      <c r="H37" s="18" t="s">
        <v>73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1.2930745565960875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89.714529292615182</v>
      </c>
      <c r="R37" s="13">
        <f>('TUSD BE'!$R$37+'TUSD BF'!$R$37+'TUSD CVA'!$R$37)*(1 - CUSTOS!$M$39)</f>
        <v>14.177773563728492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99.327328047898632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198.7049555410519</v>
      </c>
      <c r="AB37" s="13">
        <f ca="1">('TUSD BE'!$AE$37+'TUSD BF'!$AE$37+'TUSD CVA'!$AE$37)*(1 - CUSTOS!$M$39)</f>
        <v>-5.3111416442785773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13.143221767471932</v>
      </c>
      <c r="AE37" s="13">
        <f>('TUSD BE'!$AI$37+'TUSD BF'!$AI$37+'TUSD CVA'!$AI$37)*(1 - CUSTOS!$M$39)</f>
        <v>0.29687425058425992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0.86005912078239399</v>
      </c>
      <c r="AK37" s="13">
        <v>0</v>
      </c>
      <c r="AL37" s="13">
        <v>0</v>
      </c>
      <c r="AM37" s="13">
        <v>0</v>
      </c>
      <c r="AN37" s="13">
        <v>42.314015318353597</v>
      </c>
      <c r="AO37" s="13">
        <v>6.8060270195193597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98.683933705294194</v>
      </c>
      <c r="AV37" s="13">
        <v>0</v>
      </c>
      <c r="AW37" s="13">
        <v>0</v>
      </c>
      <c r="AX37" s="13">
        <v>160.66942399772299</v>
      </c>
      <c r="AY37" s="13">
        <v>0</v>
      </c>
      <c r="AZ37" s="13">
        <v>0</v>
      </c>
      <c r="BA37" s="13">
        <v>14.287564806956601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101"/>
      <c r="B38" s="101" t="s">
        <v>87</v>
      </c>
      <c r="C38" s="101" t="s">
        <v>41</v>
      </c>
      <c r="D38" s="101" t="s">
        <v>91</v>
      </c>
      <c r="E38" s="101" t="s">
        <v>25</v>
      </c>
      <c r="F38" s="101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1.2655623319876601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87.80570952043189</v>
      </c>
      <c r="R38" s="13">
        <f>('TUSD BE'!$R$38+'TUSD BF'!$R$38+'TUSD CVA'!$R$38)*(1 - CUSTOS!$M$40)</f>
        <v>13.876118807053418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301.37581380054451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602.87951228041175</v>
      </c>
      <c r="AB38" s="13">
        <f ca="1">('TUSD BE'!$AE$38+'TUSD BF'!$AE$38+'TUSD CVA'!$AE$38)*(1 - CUSTOS!$M$40)</f>
        <v>-13.619168563763585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12.863578751142743</v>
      </c>
      <c r="AE38" s="13">
        <f>('TUSD BE'!$AI$38+'TUSD BF'!$AI$38+'TUSD CVA'!$AI$38)*(1 - CUSTOS!$M$40)</f>
        <v>0.29055777716757353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0.82096552438319403</v>
      </c>
      <c r="AK38" s="13">
        <v>0</v>
      </c>
      <c r="AL38" s="13">
        <v>0</v>
      </c>
      <c r="AM38" s="13">
        <v>0</v>
      </c>
      <c r="AN38" s="13">
        <v>40.3906509857011</v>
      </c>
      <c r="AO38" s="13">
        <v>6.4966621549957502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296.72393500741799</v>
      </c>
      <c r="AV38" s="13">
        <v>0</v>
      </c>
      <c r="AW38" s="13">
        <v>0</v>
      </c>
      <c r="AX38" s="13">
        <v>483.103748281582</v>
      </c>
      <c r="AY38" s="13">
        <v>0</v>
      </c>
      <c r="AZ38" s="13">
        <v>0</v>
      </c>
      <c r="BA38" s="13">
        <v>13.638130043004001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101"/>
      <c r="B39" s="101"/>
      <c r="C39" s="101"/>
      <c r="D39" s="101"/>
      <c r="E39" s="101"/>
      <c r="F39" s="101"/>
      <c r="G39" s="18" t="s">
        <v>85</v>
      </c>
      <c r="H39" s="18" t="s">
        <v>73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1.2655623319876601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87.80570952043189</v>
      </c>
      <c r="R39" s="13">
        <f>('TUSD BE'!$R$39+'TUSD BF'!$R$39+'TUSD CVA'!$R$39)*(1 - CUSTOS!$M$40)</f>
        <v>13.876118807053418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180.82720880562457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361.7276880953047</v>
      </c>
      <c r="AB39" s="13">
        <f ca="1">('TUSD BE'!$AE$39+'TUSD BF'!$AE$39+'TUSD CVA'!$AE$39)*(1 - CUSTOS!$M$40)</f>
        <v>-8.6468000152642031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12.863578751142743</v>
      </c>
      <c r="AE39" s="13">
        <f>('TUSD BE'!$AI$39+'TUSD BF'!$AI$39+'TUSD CVA'!$AI$39)*(1 - CUSTOS!$M$40)</f>
        <v>0.29055777716757353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0.82096552438319403</v>
      </c>
      <c r="AK39" s="13">
        <v>0</v>
      </c>
      <c r="AL39" s="13">
        <v>0</v>
      </c>
      <c r="AM39" s="13">
        <v>0</v>
      </c>
      <c r="AN39" s="13">
        <v>40.3906509857011</v>
      </c>
      <c r="AO39" s="13">
        <v>6.4966621549957502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178.03340122273099</v>
      </c>
      <c r="AV39" s="13">
        <v>0</v>
      </c>
      <c r="AW39" s="13">
        <v>0</v>
      </c>
      <c r="AX39" s="13">
        <v>289.86222542514702</v>
      </c>
      <c r="AY39" s="13">
        <v>0</v>
      </c>
      <c r="AZ39" s="13">
        <v>0</v>
      </c>
      <c r="BA39" s="13">
        <v>13.638130043004001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101"/>
      <c r="B40" s="101"/>
      <c r="C40" s="101"/>
      <c r="D40" s="101"/>
      <c r="E40" s="101"/>
      <c r="F40" s="101"/>
      <c r="G40" s="18" t="s">
        <v>75</v>
      </c>
      <c r="H40" s="18" t="s">
        <v>73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1.2655623319876601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87.80570952043189</v>
      </c>
      <c r="R40" s="13">
        <f>('TUSD BE'!$R$40+'TUSD BF'!$R$40+'TUSD CVA'!$R$40)*(1 - CUSTOS!$M$40)</f>
        <v>13.876118807053418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60.278603810704645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120.57586391019761</v>
      </c>
      <c r="AB40" s="13">
        <f ca="1">('TUSD BE'!$AE$40+'TUSD BF'!$AE$40+'TUSD CVA'!$AE$40)*(1 - CUSTOS!$M$40)</f>
        <v>-3.6744314667648248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12.863578751142743</v>
      </c>
      <c r="AE40" s="13">
        <f>('TUSD BE'!$AI$40+'TUSD BF'!$AI$40+'TUSD CVA'!$AI$40)*(1 - CUSTOS!$M$40)</f>
        <v>0.29055777716757353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0.82096552438319403</v>
      </c>
      <c r="AK40" s="13">
        <v>0</v>
      </c>
      <c r="AL40" s="13">
        <v>0</v>
      </c>
      <c r="AM40" s="13">
        <v>0</v>
      </c>
      <c r="AN40" s="13">
        <v>40.3906509857011</v>
      </c>
      <c r="AO40" s="13">
        <v>6.4966621549957502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59.347666346641297</v>
      </c>
      <c r="AV40" s="13">
        <v>0</v>
      </c>
      <c r="AW40" s="13">
        <v>0</v>
      </c>
      <c r="AX40" s="13">
        <v>96.620702568712503</v>
      </c>
      <c r="AY40" s="13">
        <v>0</v>
      </c>
      <c r="AZ40" s="13">
        <v>0</v>
      </c>
      <c r="BA40" s="13">
        <v>13.638130043004001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101"/>
      <c r="B41" s="17" t="s">
        <v>23</v>
      </c>
      <c r="C41" s="17" t="s">
        <v>41</v>
      </c>
      <c r="D41" s="17" t="s">
        <v>91</v>
      </c>
      <c r="E41" s="17" t="s">
        <v>25</v>
      </c>
      <c r="F41" s="17" t="s">
        <v>25</v>
      </c>
      <c r="G41" s="18" t="s">
        <v>79</v>
      </c>
      <c r="H41" s="18" t="s">
        <v>73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1.2655623319876601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87.80570952043189</v>
      </c>
      <c r="R41" s="13">
        <f>('TUSD BE'!$R$41+'TUSD BF'!$R$41+'TUSD CVA'!$R$41)*(1 - CUSTOS!$M$40)</f>
        <v>13.876118807053418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97.213980642624193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194.47719052954017</v>
      </c>
      <c r="AB41" s="13">
        <f ca="1">('TUSD BE'!$AE$41+'TUSD BF'!$AE$41+'TUSD CVA'!$AE$41)*(1 - CUSTOS!$M$40)</f>
        <v>-5.1981386305705222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12.863578751142743</v>
      </c>
      <c r="AE41" s="13">
        <f>('TUSD BE'!$AI$41+'TUSD BF'!$AI$41+'TUSD CVA'!$AI$41)*(1 - CUSTOS!$M$40)</f>
        <v>0.29055777716757353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0.82096552438319403</v>
      </c>
      <c r="AK41" s="13">
        <v>0</v>
      </c>
      <c r="AL41" s="13">
        <v>0</v>
      </c>
      <c r="AM41" s="13">
        <v>0</v>
      </c>
      <c r="AN41" s="13">
        <v>40.3906509857011</v>
      </c>
      <c r="AO41" s="13">
        <v>6.4966621549957502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94.198300355053505</v>
      </c>
      <c r="AV41" s="13">
        <v>0</v>
      </c>
      <c r="AW41" s="13">
        <v>0</v>
      </c>
      <c r="AX41" s="13">
        <v>153.366268361463</v>
      </c>
      <c r="AY41" s="13">
        <v>0</v>
      </c>
      <c r="AZ41" s="13">
        <v>0</v>
      </c>
      <c r="BA41" s="13">
        <v>13.638130043004001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101"/>
      <c r="B42" s="101" t="s">
        <v>89</v>
      </c>
      <c r="C42" s="101" t="s">
        <v>41</v>
      </c>
      <c r="D42" s="17" t="s">
        <v>25</v>
      </c>
      <c r="E42" s="17" t="s">
        <v>25</v>
      </c>
      <c r="F42" s="17" t="s">
        <v>25</v>
      </c>
      <c r="G42" s="18" t="s">
        <v>79</v>
      </c>
      <c r="H42" s="18" t="s">
        <v>73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1.2930745565960875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89.714529292615182</v>
      </c>
      <c r="R42" s="13">
        <f>('TUSD BE'!$R$42+'TUSD BF'!$R$42+'TUSD CVA'!$R$42)*(1 - CUSTOS!$M$38)</f>
        <v>14.177773563728492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99.327328047898632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198.7049555410519</v>
      </c>
      <c r="AB42" s="13">
        <f ca="1">('TUSD BE'!$AE$42+'TUSD BF'!$AE$42+'TUSD CVA'!$AE$42)*(1 - CUSTOS!$M$38)</f>
        <v>-5.3111416442785773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13.143221767471932</v>
      </c>
      <c r="AE42" s="13">
        <f>('TUSD BE'!$AI$42+'TUSD BF'!$AI$42+'TUSD CVA'!$AI$42)*(1 - CUSTOS!$M$38)</f>
        <v>0.29687425058425992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0.86005912078239399</v>
      </c>
      <c r="AK42" s="13">
        <v>0</v>
      </c>
      <c r="AL42" s="13">
        <v>0</v>
      </c>
      <c r="AM42" s="13">
        <v>0</v>
      </c>
      <c r="AN42" s="13">
        <v>42.314015318353597</v>
      </c>
      <c r="AO42" s="13">
        <v>6.8060270195193597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98.683933705294194</v>
      </c>
      <c r="AV42" s="13">
        <v>0</v>
      </c>
      <c r="AW42" s="13">
        <v>0</v>
      </c>
      <c r="AX42" s="13">
        <v>160.66942399772299</v>
      </c>
      <c r="AY42" s="13">
        <v>0</v>
      </c>
      <c r="AZ42" s="13">
        <v>0</v>
      </c>
      <c r="BA42" s="13">
        <v>14.287564806956601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101"/>
      <c r="B43" s="101"/>
      <c r="C43" s="101"/>
      <c r="D43" s="17" t="s">
        <v>90</v>
      </c>
      <c r="E43" s="17" t="s">
        <v>25</v>
      </c>
      <c r="F43" s="17" t="s">
        <v>25</v>
      </c>
      <c r="G43" s="18" t="s">
        <v>79</v>
      </c>
      <c r="H43" s="18" t="s">
        <v>73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1.2930745565960875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89.714529292615182</v>
      </c>
      <c r="R43" s="13">
        <f>('TUSD BE'!$R$43+'TUSD BF'!$R$43+'TUSD CVA'!$R$43)*(1 - CUSTOS!$M$39)</f>
        <v>14.177773563728492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99.327328047898632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198.7049555410519</v>
      </c>
      <c r="AB43" s="13">
        <f ca="1">('TUSD BE'!$AE$43+'TUSD BF'!$AE$43+'TUSD CVA'!$AE$43)*(1 - CUSTOS!$M$39)</f>
        <v>-5.3111416442785773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13.143221767471932</v>
      </c>
      <c r="AE43" s="13">
        <f>('TUSD BE'!$AI$43+'TUSD BF'!$AI$43+'TUSD CVA'!$AI$43)*(1 - CUSTOS!$M$39)</f>
        <v>0.29687425058425992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0.86005912078239399</v>
      </c>
      <c r="AK43" s="13">
        <v>0</v>
      </c>
      <c r="AL43" s="13">
        <v>0</v>
      </c>
      <c r="AM43" s="13">
        <v>0</v>
      </c>
      <c r="AN43" s="13">
        <v>42.314015318353597</v>
      </c>
      <c r="AO43" s="13">
        <v>6.8060270195193597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98.683933705294194</v>
      </c>
      <c r="AV43" s="13">
        <v>0</v>
      </c>
      <c r="AW43" s="13">
        <v>0</v>
      </c>
      <c r="AX43" s="13">
        <v>160.66942399772299</v>
      </c>
      <c r="AY43" s="13">
        <v>0</v>
      </c>
      <c r="AZ43" s="13">
        <v>0</v>
      </c>
      <c r="BA43" s="13">
        <v>14.287564806956601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101"/>
      <c r="B44" s="101"/>
      <c r="C44" s="101"/>
      <c r="D44" s="17" t="s">
        <v>91</v>
      </c>
      <c r="E44" s="17" t="s">
        <v>25</v>
      </c>
      <c r="F44" s="17" t="s">
        <v>25</v>
      </c>
      <c r="G44" s="18" t="s">
        <v>79</v>
      </c>
      <c r="H44" s="18" t="s">
        <v>73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1.2655623319876601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87.80570952043189</v>
      </c>
      <c r="R44" s="13">
        <f>('TUSD BE'!$R$44+'TUSD BF'!$R$44+'TUSD CVA'!$R$44)*(1 - CUSTOS!$M$40)</f>
        <v>13.876118807053418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97.213980642624193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194.47719052954017</v>
      </c>
      <c r="AB44" s="13">
        <f ca="1">('TUSD BE'!$AE$44+'TUSD BF'!$AE$44+'TUSD CVA'!$AE$44)*(1 - CUSTOS!$M$40)</f>
        <v>-5.1981386305705222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12.863578751142743</v>
      </c>
      <c r="AE44" s="13">
        <f>('TUSD BE'!$AI$44+'TUSD BF'!$AI$44+'TUSD CVA'!$AI$44)*(1 - CUSTOS!$M$40)</f>
        <v>0.29055777716757353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0.82096552438319403</v>
      </c>
      <c r="AK44" s="13">
        <v>0</v>
      </c>
      <c r="AL44" s="13">
        <v>0</v>
      </c>
      <c r="AM44" s="13">
        <v>0</v>
      </c>
      <c r="AN44" s="13">
        <v>40.3906509857011</v>
      </c>
      <c r="AO44" s="13">
        <v>6.4966621549957502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94.198300355053505</v>
      </c>
      <c r="AV44" s="13">
        <v>0</v>
      </c>
      <c r="AW44" s="13">
        <v>0</v>
      </c>
      <c r="AX44" s="13">
        <v>153.366268361463</v>
      </c>
      <c r="AY44" s="13">
        <v>0</v>
      </c>
      <c r="AZ44" s="13">
        <v>0</v>
      </c>
      <c r="BA44" s="13">
        <v>13.638130043004001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101" t="s">
        <v>33</v>
      </c>
      <c r="B45" s="101" t="s">
        <v>87</v>
      </c>
      <c r="C45" s="101" t="s">
        <v>25</v>
      </c>
      <c r="D45" s="101" t="s">
        <v>25</v>
      </c>
      <c r="E45" s="101" t="s">
        <v>25</v>
      </c>
      <c r="F45" s="101" t="s">
        <v>25</v>
      </c>
      <c r="G45" s="18" t="s">
        <v>74</v>
      </c>
      <c r="H45" s="18" t="s">
        <v>73</v>
      </c>
      <c r="I45" s="18">
        <f>'MERCADO TUSD'!$U$42</f>
        <v>0</v>
      </c>
      <c r="J45" s="15"/>
      <c r="L45" s="13">
        <f>('TUSD BE'!$L$45+'TUSD BF'!$L$45+'TUSD CVA'!$L$45)*1</f>
        <v>0</v>
      </c>
      <c r="M45" s="13">
        <f>('TUSD BE'!$M$45+'TUSD BF'!$M$45+'TUSD CVA'!$M$45)*1</f>
        <v>1.3756112304213697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95.440988609165089</v>
      </c>
      <c r="R45" s="13">
        <f>('TUSD BE'!$R$45+'TUSD BF'!$R$45+'TUSD CVA'!$R$45)*1</f>
        <v>15.082737833753715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338.14400045678019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676.44256943268192</v>
      </c>
      <c r="AB45" s="13">
        <f ca="1">('TUSD BE'!$AE$45+'TUSD BF'!$AE$45+'TUSD CVA'!$AE$45)*1</f>
        <v>-15.239245019885725</v>
      </c>
      <c r="AC45" s="13">
        <f ca="1">('TUSD BE'!$AF$45+'TUSD BF'!$AF$45+'TUSD CVA'!$AF$45)*1</f>
        <v>0</v>
      </c>
      <c r="AD45" s="13">
        <f>('TUSD BE'!$AH$45+'TUSD BF'!$AH$45+'TUSD CVA'!$AH$45)*1</f>
        <v>13.982150816459503</v>
      </c>
      <c r="AE45" s="13">
        <f>('TUSD BE'!$AI$45+'TUSD BF'!$AI$45+'TUSD CVA'!$AI$45)*1</f>
        <v>0.31582367083431906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0.97733990997999298</v>
      </c>
      <c r="AK45" s="13">
        <v>0</v>
      </c>
      <c r="AL45" s="13">
        <v>0</v>
      </c>
      <c r="AM45" s="13">
        <v>0</v>
      </c>
      <c r="AN45" s="13">
        <v>48.084108316310903</v>
      </c>
      <c r="AO45" s="13">
        <v>7.7341216130901804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358.843791661046</v>
      </c>
      <c r="AV45" s="13">
        <v>0</v>
      </c>
      <c r="AW45" s="13">
        <v>0</v>
      </c>
      <c r="AX45" s="13">
        <v>584.25247892914501</v>
      </c>
      <c r="AY45" s="13">
        <v>0</v>
      </c>
      <c r="AZ45" s="13">
        <v>0</v>
      </c>
      <c r="BA45" s="13">
        <v>16.235869098814302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101"/>
      <c r="B46" s="101"/>
      <c r="C46" s="101"/>
      <c r="D46" s="101"/>
      <c r="E46" s="101"/>
      <c r="F46" s="101"/>
      <c r="G46" s="18" t="s">
        <v>85</v>
      </c>
      <c r="H46" s="18" t="s">
        <v>73</v>
      </c>
      <c r="I46" s="18">
        <f>'MERCADO TUSD'!$U$43</f>
        <v>0</v>
      </c>
      <c r="J46" s="15"/>
      <c r="L46" s="13">
        <f>('TUSD BE'!$L$46+'TUSD BF'!$L$46+'TUSD CVA'!$L$46)*1</f>
        <v>0</v>
      </c>
      <c r="M46" s="13">
        <f>('TUSD BE'!$M$46+'TUSD BF'!$M$46+'TUSD CVA'!$M$46)*1</f>
        <v>1.3756112304213697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95.440988609165089</v>
      </c>
      <c r="R46" s="13">
        <f>('TUSD BE'!$R$46+'TUSD BF'!$R$46+'TUSD CVA'!$R$46)*1</f>
        <v>15.082737833753715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202.89107561455143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405.86554165960922</v>
      </c>
      <c r="AB46" s="13">
        <f ca="1">('TUSD BE'!$AE$46+'TUSD BF'!$AE$46+'TUSD CVA'!$AE$46)*1</f>
        <v>-9.660209943737037</v>
      </c>
      <c r="AC46" s="13">
        <f ca="1">('TUSD BE'!$AF$46+'TUSD BF'!$AF$46+'TUSD CVA'!$AF$46)*1</f>
        <v>0</v>
      </c>
      <c r="AD46" s="13">
        <f>('TUSD BE'!$AH$46+'TUSD BF'!$AH$46+'TUSD CVA'!$AH$46)*1</f>
        <v>13.982150816459503</v>
      </c>
      <c r="AE46" s="13">
        <f>('TUSD BE'!$AI$46+'TUSD BF'!$AI$46+'TUSD CVA'!$AI$46)*1</f>
        <v>0.31582367083431906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0.97733990997999298</v>
      </c>
      <c r="AK46" s="13">
        <v>0</v>
      </c>
      <c r="AL46" s="13">
        <v>0</v>
      </c>
      <c r="AM46" s="13">
        <v>0</v>
      </c>
      <c r="AN46" s="13">
        <v>48.084108316310903</v>
      </c>
      <c r="AO46" s="13">
        <v>7.7341216130901804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215.30957814150599</v>
      </c>
      <c r="AV46" s="13">
        <v>0</v>
      </c>
      <c r="AW46" s="13">
        <v>0</v>
      </c>
      <c r="AX46" s="13">
        <v>350.551515385823</v>
      </c>
      <c r="AY46" s="13">
        <v>0</v>
      </c>
      <c r="AZ46" s="13">
        <v>0</v>
      </c>
      <c r="BA46" s="13">
        <v>16.235869098814302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101"/>
      <c r="B47" s="101"/>
      <c r="C47" s="101"/>
      <c r="D47" s="101"/>
      <c r="E47" s="101"/>
      <c r="F47" s="101"/>
      <c r="G47" s="18" t="s">
        <v>75</v>
      </c>
      <c r="H47" s="18" t="s">
        <v>73</v>
      </c>
      <c r="I47" s="18">
        <f>'MERCADO TUSD'!$U$44</f>
        <v>0</v>
      </c>
      <c r="J47" s="15"/>
      <c r="L47" s="13">
        <f>('TUSD BE'!$L$47+'TUSD BF'!$L$47+'TUSD CVA'!$L$47)*1</f>
        <v>0</v>
      </c>
      <c r="M47" s="13">
        <f>('TUSD BE'!$M$47+'TUSD BF'!$M$47+'TUSD CVA'!$M$47)*1</f>
        <v>1.3756112304213697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95.440988609165089</v>
      </c>
      <c r="R47" s="13">
        <f>('TUSD BE'!$R$47+'TUSD BF'!$R$47+'TUSD CVA'!$R$47)*1</f>
        <v>15.082737833753715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67.628800091356041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135.28851388653641</v>
      </c>
      <c r="AB47" s="13">
        <f ca="1">('TUSD BE'!$AE$47+'TUSD BF'!$AE$47+'TUSD CVA'!$AE$47)*1</f>
        <v>-4.0810634994450954</v>
      </c>
      <c r="AC47" s="13">
        <f ca="1">('TUSD BE'!$AF$47+'TUSD BF'!$AF$47+'TUSD CVA'!$AF$47)*1</f>
        <v>0</v>
      </c>
      <c r="AD47" s="13">
        <f>('TUSD BE'!$AH$47+'TUSD BF'!$AH$47+'TUSD CVA'!$AH$47)*1</f>
        <v>13.982150816459503</v>
      </c>
      <c r="AE47" s="13">
        <f>('TUSD BE'!$AI$47+'TUSD BF'!$AI$47+'TUSD CVA'!$AI$47)*1</f>
        <v>0.31582367083431906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0.97733990997999298</v>
      </c>
      <c r="AK47" s="13">
        <v>0</v>
      </c>
      <c r="AL47" s="13">
        <v>0</v>
      </c>
      <c r="AM47" s="13">
        <v>0</v>
      </c>
      <c r="AN47" s="13">
        <v>48.084108316310903</v>
      </c>
      <c r="AO47" s="13">
        <v>7.7341216130901804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71.769859380501998</v>
      </c>
      <c r="AV47" s="13">
        <v>0</v>
      </c>
      <c r="AW47" s="13">
        <v>0</v>
      </c>
      <c r="AX47" s="13">
        <v>116.85041170082199</v>
      </c>
      <c r="AY47" s="13">
        <v>0</v>
      </c>
      <c r="AZ47" s="13">
        <v>0</v>
      </c>
      <c r="BA47" s="13">
        <v>16.235869098814302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101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79</v>
      </c>
      <c r="H48" s="18" t="s">
        <v>73</v>
      </c>
      <c r="I48" s="18">
        <f>'MERCADO TUSD'!$U$45</f>
        <v>2202.5430000000001</v>
      </c>
      <c r="J48" s="15"/>
      <c r="L48" s="13">
        <f>('TUSD BE'!$L$48+'TUSD BF'!$L$48+'TUSD CVA'!$L$48)*1</f>
        <v>0</v>
      </c>
      <c r="M48" s="13">
        <f>('TUSD BE'!$M$48+'TUSD BF'!$M$48+'TUSD CVA'!$M$48)*1</f>
        <v>1.3756112304213697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95.440988609165089</v>
      </c>
      <c r="R48" s="13">
        <f>('TUSD BE'!$R$48+'TUSD BF'!$R$48+'TUSD CVA'!$R$48)*1</f>
        <v>15.082737833753715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105.66737026372195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211.38825057558714</v>
      </c>
      <c r="AB48" s="13">
        <f ca="1">('TUSD BE'!$AE$48+'TUSD BF'!$AE$48+'TUSD CVA'!$AE$48)*1</f>
        <v>-5.6501506854027417</v>
      </c>
      <c r="AC48" s="13">
        <f ca="1">('TUSD BE'!$AF$48+'TUSD BF'!$AF$48+'TUSD CVA'!$AF$48)*1</f>
        <v>0</v>
      </c>
      <c r="AD48" s="13">
        <f>('TUSD BE'!$AH$48+'TUSD BF'!$AH$48+'TUSD CVA'!$AH$48)*1</f>
        <v>13.982150816459503</v>
      </c>
      <c r="AE48" s="13">
        <f>('TUSD BE'!$AI$48+'TUSD BF'!$AI$48+'TUSD CVA'!$AI$48)*1</f>
        <v>0.31582367083431906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0.97733990997999298</v>
      </c>
      <c r="AK48" s="13">
        <v>0</v>
      </c>
      <c r="AL48" s="13">
        <v>0</v>
      </c>
      <c r="AM48" s="13">
        <v>0</v>
      </c>
      <c r="AN48" s="13">
        <v>48.084108316310903</v>
      </c>
      <c r="AO48" s="13">
        <v>7.7341216130901804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112.14083375601599</v>
      </c>
      <c r="AV48" s="13">
        <v>0</v>
      </c>
      <c r="AW48" s="13">
        <v>0</v>
      </c>
      <c r="AX48" s="13">
        <v>182.57889090650301</v>
      </c>
      <c r="AY48" s="13">
        <v>0</v>
      </c>
      <c r="AZ48" s="13">
        <v>0</v>
      </c>
      <c r="BA48" s="13">
        <v>16.235869098814302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101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79</v>
      </c>
      <c r="H49" s="18" t="s">
        <v>73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1.3756112304213697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95.440988609165089</v>
      </c>
      <c r="R49" s="13">
        <f>('TUSD BE'!$R$49+'TUSD BF'!$R$49+'TUSD CVA'!$R$49)*1</f>
        <v>15.082737833753715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105.66737026372195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211.38825057558714</v>
      </c>
      <c r="AB49" s="13">
        <f ca="1">('TUSD BE'!$AE$49+'TUSD BF'!$AE$49+'TUSD CVA'!$AE$49)*1</f>
        <v>-5.6501506854027417</v>
      </c>
      <c r="AC49" s="13">
        <f ca="1">('TUSD BE'!$AF$49+'TUSD BF'!$AF$49+'TUSD CVA'!$AF$49)*1</f>
        <v>0</v>
      </c>
      <c r="AD49" s="13">
        <f>('TUSD BE'!$AH$49+'TUSD BF'!$AH$49+'TUSD CVA'!$AH$49)*1</f>
        <v>13.982150816459503</v>
      </c>
      <c r="AE49" s="13">
        <f>('TUSD BE'!$AI$49+'TUSD BF'!$AI$49+'TUSD CVA'!$AI$49)*1</f>
        <v>0.31582367083431906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0.97733990997999298</v>
      </c>
      <c r="AK49" s="13">
        <v>0</v>
      </c>
      <c r="AL49" s="13">
        <v>0</v>
      </c>
      <c r="AM49" s="13">
        <v>0</v>
      </c>
      <c r="AN49" s="13">
        <v>48.084108316310903</v>
      </c>
      <c r="AO49" s="13">
        <v>7.7341216130901804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112.14083375601599</v>
      </c>
      <c r="AV49" s="13">
        <v>0</v>
      </c>
      <c r="AW49" s="13">
        <v>0</v>
      </c>
      <c r="AX49" s="13">
        <v>182.57889090650301</v>
      </c>
      <c r="AY49" s="13">
        <v>0</v>
      </c>
      <c r="AZ49" s="13">
        <v>0</v>
      </c>
      <c r="BA49" s="13">
        <v>16.235869098814302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101" t="s">
        <v>43</v>
      </c>
      <c r="B50" s="101" t="s">
        <v>23</v>
      </c>
      <c r="C50" s="101" t="s">
        <v>44</v>
      </c>
      <c r="D50" s="17" t="s">
        <v>45</v>
      </c>
      <c r="E50" s="17" t="s">
        <v>25</v>
      </c>
      <c r="F50" s="17" t="s">
        <v>25</v>
      </c>
      <c r="G50" s="18" t="s">
        <v>79</v>
      </c>
      <c r="H50" s="18" t="s">
        <v>73</v>
      </c>
      <c r="I50" s="18">
        <f>'MERCADO TUSD'!$U$47</f>
        <v>786.13800000000003</v>
      </c>
      <c r="J50" s="15"/>
      <c r="L50" s="13">
        <f>('TUSD BE'!$L$50+'TUSD BF'!$L$50+'TUSD CVA'!$L$50)*1</f>
        <v>0</v>
      </c>
      <c r="M50" s="13">
        <f>('TUSD BE'!$M$50+'TUSD BF'!$M$50+'TUSD CVA'!$M$50)*1</f>
        <v>0.75658617673175321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52.492543735040805</v>
      </c>
      <c r="R50" s="13">
        <f>('TUSD BE'!$R$50+'TUSD BF'!$R$50+'TUSD CVA'!$R$50)*1</f>
        <v>8.2955058085645437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58.117053645047065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116.26353781657292</v>
      </c>
      <c r="AB50" s="13">
        <f ca="1">('TUSD BE'!$AE$50+'TUSD BF'!$AE$50+'TUSD CVA'!$AE$50)*1</f>
        <v>-3.1075828769715077</v>
      </c>
      <c r="AC50" s="13">
        <f ca="1">('TUSD BE'!$AF$50+'TUSD BF'!$AF$50+'TUSD CVA'!$AF$50)*1</f>
        <v>0</v>
      </c>
      <c r="AD50" s="13">
        <f>('TUSD BE'!$AH$50+'TUSD BF'!$AH$50+'TUSD CVA'!$AH$50)*1</f>
        <v>7.6901829490527271</v>
      </c>
      <c r="AE50" s="13">
        <f>('TUSD BE'!$AI$50+'TUSD BF'!$AI$50+'TUSD CVA'!$AI$50)*1</f>
        <v>0.17370301895887549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0.53753695048899597</v>
      </c>
      <c r="AK50" s="13">
        <v>0</v>
      </c>
      <c r="AL50" s="13">
        <v>0</v>
      </c>
      <c r="AM50" s="13">
        <v>0</v>
      </c>
      <c r="AN50" s="13">
        <v>26.446259573970998</v>
      </c>
      <c r="AO50" s="13">
        <v>4.2537668871995997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61.677458565808898</v>
      </c>
      <c r="AV50" s="13">
        <v>0</v>
      </c>
      <c r="AW50" s="13">
        <v>0</v>
      </c>
      <c r="AX50" s="13">
        <v>100.418389998577</v>
      </c>
      <c r="AY50" s="13">
        <v>0</v>
      </c>
      <c r="AZ50" s="13">
        <v>0</v>
      </c>
      <c r="BA50" s="13">
        <v>8.9297280043478899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101"/>
      <c r="B51" s="101"/>
      <c r="C51" s="101"/>
      <c r="D51" s="18" t="s">
        <v>46</v>
      </c>
      <c r="E51" s="18" t="s">
        <v>25</v>
      </c>
      <c r="F51" s="18" t="s">
        <v>25</v>
      </c>
      <c r="G51" s="18" t="s">
        <v>79</v>
      </c>
      <c r="H51" s="18" t="s">
        <v>73</v>
      </c>
      <c r="I51" s="18">
        <f>'MERCADO TUSD'!$U$48</f>
        <v>25.399000000000001</v>
      </c>
      <c r="J51" s="15"/>
      <c r="L51" s="13">
        <f>('TUSD BE'!$L$51+'TUSD BF'!$L$51+'TUSD CVA'!$L$51)*1</f>
        <v>0</v>
      </c>
      <c r="M51" s="13">
        <f>('TUSD BE'!$M$51+'TUSD BF'!$M$51+'TUSD CVA'!$M$51)*1</f>
        <v>0.8253667382528217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57.264593165499051</v>
      </c>
      <c r="R51" s="13">
        <f>('TUSD BE'!$R$51+'TUSD BF'!$R$51+'TUSD CVA'!$R$51)*1</f>
        <v>9.0496427002522282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63.400422158233162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126.83295034535226</v>
      </c>
      <c r="AB51" s="13">
        <f ca="1">('TUSD BE'!$AE$51+'TUSD BF'!$AE$51+'TUSD CVA'!$AE$51)*1</f>
        <v>-3.390090411241645</v>
      </c>
      <c r="AC51" s="13">
        <f ca="1">('TUSD BE'!$AF$51+'TUSD BF'!$AF$51+'TUSD CVA'!$AF$51)*1</f>
        <v>0</v>
      </c>
      <c r="AD51" s="13">
        <f>('TUSD BE'!$AH$51+'TUSD BF'!$AH$51+'TUSD CVA'!$AH$51)*1</f>
        <v>8.3892904898757017</v>
      </c>
      <c r="AE51" s="13">
        <f>('TUSD BE'!$AI$51+'TUSD BF'!$AI$51+'TUSD CVA'!$AI$51)*1</f>
        <v>0.18949420250059143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0.58640394598799594</v>
      </c>
      <c r="AK51" s="13">
        <v>0</v>
      </c>
      <c r="AL51" s="13">
        <v>0</v>
      </c>
      <c r="AM51" s="13">
        <v>0</v>
      </c>
      <c r="AN51" s="13">
        <v>28.850464989786499</v>
      </c>
      <c r="AO51" s="13">
        <v>4.6404729678541097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67.284500253609707</v>
      </c>
      <c r="AV51" s="13">
        <v>0</v>
      </c>
      <c r="AW51" s="13">
        <v>0</v>
      </c>
      <c r="AX51" s="13">
        <v>109.547334543902</v>
      </c>
      <c r="AY51" s="13">
        <v>0</v>
      </c>
      <c r="AZ51" s="13">
        <v>0</v>
      </c>
      <c r="BA51" s="13">
        <v>9.7415214592886095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103" t="s">
        <v>714</v>
      </c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I53" s="103" t="s">
        <v>715</v>
      </c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</row>
    <row r="54" spans="1:56" ht="11.25" customHeight="1" x14ac:dyDescent="0.25">
      <c r="L54" s="103" t="s">
        <v>411</v>
      </c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I54" s="103" t="s">
        <v>411</v>
      </c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</row>
    <row r="55" spans="1:56" ht="11.25" customHeight="1" x14ac:dyDescent="0.25">
      <c r="L55" s="103" t="s">
        <v>412</v>
      </c>
      <c r="M55" s="103"/>
      <c r="N55" s="103"/>
      <c r="O55" s="103"/>
      <c r="P55" s="103"/>
      <c r="Q55" s="103"/>
      <c r="R55" s="103"/>
      <c r="S55" s="103"/>
      <c r="T55" s="103" t="s">
        <v>421</v>
      </c>
      <c r="U55" s="103"/>
      <c r="V55" s="103"/>
      <c r="W55" s="103"/>
      <c r="X55" s="103"/>
      <c r="Y55" s="103"/>
      <c r="Z55" s="103"/>
      <c r="AA55" s="10" t="s">
        <v>429</v>
      </c>
      <c r="AB55" s="103" t="s">
        <v>431</v>
      </c>
      <c r="AC55" s="103"/>
      <c r="AD55" s="103" t="s">
        <v>434</v>
      </c>
      <c r="AE55" s="103"/>
      <c r="AF55" s="103"/>
      <c r="AG55" s="103"/>
      <c r="AI55" s="103" t="s">
        <v>412</v>
      </c>
      <c r="AJ55" s="103"/>
      <c r="AK55" s="103"/>
      <c r="AL55" s="103"/>
      <c r="AM55" s="103"/>
      <c r="AN55" s="103"/>
      <c r="AO55" s="103"/>
      <c r="AP55" s="103"/>
      <c r="AQ55" s="103" t="s">
        <v>421</v>
      </c>
      <c r="AR55" s="103"/>
      <c r="AS55" s="103"/>
      <c r="AT55" s="103"/>
      <c r="AU55" s="103"/>
      <c r="AV55" s="103"/>
      <c r="AW55" s="103"/>
      <c r="AX55" s="10" t="s">
        <v>429</v>
      </c>
      <c r="AY55" s="103" t="s">
        <v>431</v>
      </c>
      <c r="AZ55" s="103"/>
      <c r="BA55" s="103" t="s">
        <v>434</v>
      </c>
      <c r="BB55" s="103"/>
      <c r="BC55" s="103"/>
      <c r="BD55" s="103"/>
    </row>
    <row r="56" spans="1:56" ht="11.25" customHeight="1" x14ac:dyDescent="0.25">
      <c r="L56" s="10" t="s">
        <v>497</v>
      </c>
      <c r="M56" s="10" t="s">
        <v>413</v>
      </c>
      <c r="N56" s="10" t="s">
        <v>414</v>
      </c>
      <c r="O56" s="10" t="s">
        <v>415</v>
      </c>
      <c r="P56" s="10" t="s">
        <v>416</v>
      </c>
      <c r="Q56" s="10" t="s">
        <v>417</v>
      </c>
      <c r="R56" s="10" t="s">
        <v>418</v>
      </c>
      <c r="S56" s="10" t="s">
        <v>419</v>
      </c>
      <c r="T56" s="10" t="s">
        <v>422</v>
      </c>
      <c r="U56" s="10" t="s">
        <v>423</v>
      </c>
      <c r="V56" s="10" t="s">
        <v>424</v>
      </c>
      <c r="W56" s="10" t="s">
        <v>425</v>
      </c>
      <c r="X56" s="10" t="s">
        <v>426</v>
      </c>
      <c r="Y56" s="10" t="s">
        <v>427</v>
      </c>
      <c r="Z56" s="10" t="s">
        <v>428</v>
      </c>
      <c r="AA56" s="10" t="s">
        <v>430</v>
      </c>
      <c r="AB56" s="10" t="s">
        <v>432</v>
      </c>
      <c r="AC56" s="10" t="s">
        <v>433</v>
      </c>
      <c r="AD56" s="10" t="s">
        <v>435</v>
      </c>
      <c r="AE56" s="10" t="s">
        <v>436</v>
      </c>
      <c r="AF56" s="10" t="s">
        <v>437</v>
      </c>
      <c r="AG56" s="10" t="s">
        <v>438</v>
      </c>
      <c r="AI56" s="10" t="s">
        <v>497</v>
      </c>
      <c r="AJ56" s="10" t="s">
        <v>413</v>
      </c>
      <c r="AK56" s="10" t="s">
        <v>414</v>
      </c>
      <c r="AL56" s="10" t="s">
        <v>415</v>
      </c>
      <c r="AM56" s="10" t="s">
        <v>416</v>
      </c>
      <c r="AN56" s="10" t="s">
        <v>417</v>
      </c>
      <c r="AO56" s="10" t="s">
        <v>418</v>
      </c>
      <c r="AP56" s="10" t="s">
        <v>419</v>
      </c>
      <c r="AQ56" s="10" t="s">
        <v>422</v>
      </c>
      <c r="AR56" s="10" t="s">
        <v>423</v>
      </c>
      <c r="AS56" s="10" t="s">
        <v>424</v>
      </c>
      <c r="AT56" s="10" t="s">
        <v>425</v>
      </c>
      <c r="AU56" s="10" t="s">
        <v>426</v>
      </c>
      <c r="AV56" s="10" t="s">
        <v>427</v>
      </c>
      <c r="AW56" s="10" t="s">
        <v>428</v>
      </c>
      <c r="AX56" s="10" t="s">
        <v>430</v>
      </c>
      <c r="AY56" s="10" t="s">
        <v>432</v>
      </c>
      <c r="AZ56" s="10" t="s">
        <v>433</v>
      </c>
      <c r="BA56" s="10" t="s">
        <v>435</v>
      </c>
      <c r="BB56" s="10" t="s">
        <v>436</v>
      </c>
      <c r="BC56" s="10" t="s">
        <v>437</v>
      </c>
      <c r="BD56" s="10" t="s">
        <v>438</v>
      </c>
    </row>
    <row r="57" spans="1:56" ht="11.25" customHeight="1" x14ac:dyDescent="0.25">
      <c r="A57" s="9" t="s">
        <v>35</v>
      </c>
      <c r="B57" s="9" t="s">
        <v>716</v>
      </c>
      <c r="C57" s="9" t="s">
        <v>717</v>
      </c>
      <c r="D57" s="9" t="s">
        <v>718</v>
      </c>
      <c r="E57" s="9" t="s">
        <v>719</v>
      </c>
      <c r="F57" s="9" t="s">
        <v>720</v>
      </c>
      <c r="G57" s="9" t="s">
        <v>721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30628.623040337538</v>
      </c>
      <c r="Y57" s="13">
        <f>$I$5*$Y$5</f>
        <v>0</v>
      </c>
      <c r="Z57" s="13">
        <f>$I$5*$Z$5</f>
        <v>0</v>
      </c>
      <c r="AA57" s="13">
        <f>$I$5*$AA$5</f>
        <v>62115.127976606629</v>
      </c>
      <c r="AB57" s="13">
        <f ca="1">$I$5*$AB$5</f>
        <v>-1275.7420580664866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38074.183066617479</v>
      </c>
      <c r="AV57" s="13">
        <f>$I$5*$AV$5</f>
        <v>0</v>
      </c>
      <c r="AW57" s="13">
        <f>$I$5*$AW$5</f>
        <v>0</v>
      </c>
      <c r="AX57" s="13">
        <f>$I$5*$AX$5</f>
        <v>43541.746751080238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716</v>
      </c>
      <c r="C58" s="9" t="s">
        <v>717</v>
      </c>
      <c r="D58" s="9" t="s">
        <v>718</v>
      </c>
      <c r="E58" s="9" t="s">
        <v>719</v>
      </c>
      <c r="F58" s="9" t="s">
        <v>720</v>
      </c>
      <c r="G58" s="9" t="s">
        <v>722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14436.142317185057</v>
      </c>
      <c r="Y58" s="13">
        <f>$I$6*$Y$6</f>
        <v>0</v>
      </c>
      <c r="Z58" s="13">
        <f>$I$6*$Z$6</f>
        <v>0</v>
      </c>
      <c r="AA58" s="13">
        <f>$I$6*$AA$6</f>
        <v>16257.698919993421</v>
      </c>
      <c r="AB58" s="13">
        <f ca="1">$I$6*$AB$6</f>
        <v>-410.36429546074362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12517.074312394176</v>
      </c>
      <c r="AV58" s="13">
        <f>$I$6*$AV$6</f>
        <v>0</v>
      </c>
      <c r="AW58" s="13">
        <f>$I$6*$AW$6</f>
        <v>0</v>
      </c>
      <c r="AX58" s="13">
        <f>$I$6*$AX$6</f>
        <v>11615.511277780128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716</v>
      </c>
      <c r="C59" s="9" t="s">
        <v>717</v>
      </c>
      <c r="D59" s="9" t="s">
        <v>718</v>
      </c>
      <c r="E59" s="9" t="s">
        <v>719</v>
      </c>
      <c r="F59" s="9" t="s">
        <v>720</v>
      </c>
      <c r="G59" s="9" t="s">
        <v>723</v>
      </c>
      <c r="L59" s="13">
        <f>$I$7*$L$7</f>
        <v>0</v>
      </c>
      <c r="M59" s="13">
        <f>$I$7*$M$7</f>
        <v>502.9595629951715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45080.634736048487</v>
      </c>
      <c r="R59" s="13">
        <f>$I$7*$R$7</f>
        <v>8481.174311298053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-578.03726912281275</v>
      </c>
      <c r="AC59" s="13">
        <f ca="1">$I$7*$AC$7</f>
        <v>0</v>
      </c>
      <c r="AD59" s="13">
        <f>$I$7*$AD$7</f>
        <v>2764.5631656040841</v>
      </c>
      <c r="AE59" s="13">
        <f>$I$7*$AE$7</f>
        <v>62.453108205749288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247.7251541320372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23523.212204189917</v>
      </c>
      <c r="AO59" s="13">
        <f>$I$7*$AO$7</f>
        <v>4348.9739242567402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3887.7268164419925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716</v>
      </c>
      <c r="C60" s="9" t="s">
        <v>717</v>
      </c>
      <c r="D60" s="9" t="s">
        <v>718</v>
      </c>
      <c r="E60" s="9" t="s">
        <v>724</v>
      </c>
      <c r="F60" s="9" t="s">
        <v>725</v>
      </c>
      <c r="G60" s="9" t="s">
        <v>726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727</v>
      </c>
      <c r="C61" s="9" t="s">
        <v>728</v>
      </c>
      <c r="D61" s="9" t="s">
        <v>729</v>
      </c>
      <c r="E61" s="9" t="s">
        <v>730</v>
      </c>
      <c r="F61" s="9" t="s">
        <v>731</v>
      </c>
      <c r="G61" s="9" t="s">
        <v>732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733</v>
      </c>
      <c r="C62" s="9" t="s">
        <v>734</v>
      </c>
      <c r="D62" s="9" t="s">
        <v>735</v>
      </c>
      <c r="E62" s="9" t="s">
        <v>736</v>
      </c>
      <c r="F62" s="9" t="s">
        <v>737</v>
      </c>
      <c r="G62" s="9" t="s">
        <v>738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1492777.3163875861</v>
      </c>
      <c r="Y62" s="13">
        <f>$I$10*$Y$10</f>
        <v>0</v>
      </c>
      <c r="Z62" s="13">
        <f>$I$10*$Z$10</f>
        <v>0</v>
      </c>
      <c r="AA62" s="13">
        <f>$I$10*$AA$10</f>
        <v>1681136.3888768754</v>
      </c>
      <c r="AB62" s="13">
        <f ca="1">$I$10*$AB$10</f>
        <v>-42433.947952282339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1294335.0232032933</v>
      </c>
      <c r="AV62" s="13">
        <f>$I$10*$AV$10</f>
        <v>0</v>
      </c>
      <c r="AW62" s="13">
        <f>$I$10*$AW$10</f>
        <v>0</v>
      </c>
      <c r="AX62" s="13">
        <f>$I$10*$AX$10</f>
        <v>1201108.3967406752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733</v>
      </c>
      <c r="C63" s="9" t="s">
        <v>734</v>
      </c>
      <c r="D63" s="9" t="s">
        <v>735</v>
      </c>
      <c r="E63" s="9" t="s">
        <v>736</v>
      </c>
      <c r="F63" s="9" t="s">
        <v>737</v>
      </c>
      <c r="G63" s="9" t="s">
        <v>739</v>
      </c>
      <c r="L63" s="13">
        <f>$I$11*$L$11</f>
        <v>0</v>
      </c>
      <c r="M63" s="13">
        <f>$I$11*$M$11</f>
        <v>648.00218506515239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58080.911393991875</v>
      </c>
      <c r="R63" s="13">
        <f>$I$11*$R$11</f>
        <v>10926.960912943885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511115.21936925413</v>
      </c>
      <c r="Y63" s="13">
        <f>$I$11*$Y$11</f>
        <v>0</v>
      </c>
      <c r="Z63" s="13">
        <f>$I$11*$Z$11</f>
        <v>0</v>
      </c>
      <c r="AA63" s="13">
        <f>$I$11*$AA$11</f>
        <v>1036648.6360314938</v>
      </c>
      <c r="AB63" s="13">
        <f ca="1">$I$11*$AB$11</f>
        <v>-22035.179432831275</v>
      </c>
      <c r="AC63" s="13">
        <f ca="1">$I$11*$AC$11</f>
        <v>0</v>
      </c>
      <c r="AD63" s="13">
        <f>$I$11*$AD$11</f>
        <v>3561.8031823351162</v>
      </c>
      <c r="AE63" s="13">
        <f>$I$11*$AE$11</f>
        <v>80.463229171814064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319.16371212272355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30306.796071819917</v>
      </c>
      <c r="AO63" s="13">
        <f>$I$11*$AO$11</f>
        <v>5603.1236167922161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635336.48161758785</v>
      </c>
      <c r="AV63" s="13">
        <f>$I$11*$AV$11</f>
        <v>0</v>
      </c>
      <c r="AW63" s="13">
        <f>$I$11*$AW$11</f>
        <v>0</v>
      </c>
      <c r="AX63" s="13">
        <f>$I$11*$AX$11</f>
        <v>726676.69816519134</v>
      </c>
      <c r="AY63" s="13">
        <f>$I$11*$AY$11</f>
        <v>0</v>
      </c>
      <c r="AZ63" s="13">
        <f>$I$11*$AZ$11</f>
        <v>0</v>
      </c>
      <c r="BA63" s="13">
        <f>$I$11*$BA$11</f>
        <v>5008.8628536823053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733</v>
      </c>
      <c r="C64" s="9" t="s">
        <v>734</v>
      </c>
      <c r="D64" s="9" t="s">
        <v>735</v>
      </c>
      <c r="E64" s="9" t="s">
        <v>736</v>
      </c>
      <c r="F64" s="9" t="s">
        <v>737</v>
      </c>
      <c r="G64" s="9" t="s">
        <v>740</v>
      </c>
      <c r="L64" s="13">
        <f>$I$12*$L$12</f>
        <v>0</v>
      </c>
      <c r="M64" s="13">
        <f>$I$12*$M$12</f>
        <v>17045.064438354526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1527761.6343985226</v>
      </c>
      <c r="R64" s="13">
        <f>$I$12*$R$12</f>
        <v>287423.03215811442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-19589.41279751233</v>
      </c>
      <c r="AC64" s="13">
        <f ca="1">$I$12*$AC$12</f>
        <v>0</v>
      </c>
      <c r="AD64" s="13">
        <f>$I$12*$AD$12</f>
        <v>93689.753150344943</v>
      </c>
      <c r="AE64" s="13">
        <f>$I$12*$AE$12</f>
        <v>2116.5066380351213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8395.2896531811602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797190.66365848971</v>
      </c>
      <c r="AO64" s="13">
        <f>$I$12*$AO$12</f>
        <v>147384.6929924888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131753.24415813689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733</v>
      </c>
      <c r="C65" s="9" t="s">
        <v>734</v>
      </c>
      <c r="D65" s="9" t="s">
        <v>735</v>
      </c>
      <c r="E65" s="9" t="s">
        <v>741</v>
      </c>
      <c r="F65" s="9" t="s">
        <v>742</v>
      </c>
      <c r="G65" s="9" t="s">
        <v>743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733</v>
      </c>
      <c r="C66" s="9" t="s">
        <v>734</v>
      </c>
      <c r="D66" s="9" t="s">
        <v>735</v>
      </c>
      <c r="E66" s="9" t="s">
        <v>741</v>
      </c>
      <c r="F66" s="9" t="s">
        <v>742</v>
      </c>
      <c r="G66" s="9" t="s">
        <v>744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82</v>
      </c>
      <c r="B67" s="9" t="s">
        <v>745</v>
      </c>
      <c r="C67" s="9" t="s">
        <v>746</v>
      </c>
      <c r="D67" s="9" t="s">
        <v>747</v>
      </c>
      <c r="E67" s="9" t="s">
        <v>748</v>
      </c>
      <c r="F67" s="9" t="s">
        <v>749</v>
      </c>
      <c r="G67" s="9" t="s">
        <v>750</v>
      </c>
      <c r="L67" s="13">
        <f>$I$15*$L$15</f>
        <v>0</v>
      </c>
      <c r="M67" s="13">
        <f>$I$15*$M$15</f>
        <v>5.4054041324926829E-11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2.6883659728120634E-8</v>
      </c>
      <c r="AB67" s="13">
        <f ca="1">$I$15*$AB$15</f>
        <v>-3.9481373303133035E-10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6.1712702174494909E-11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3.4708188771295896E-8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82</v>
      </c>
      <c r="B68" s="9" t="s">
        <v>745</v>
      </c>
      <c r="C68" s="9" t="s">
        <v>746</v>
      </c>
      <c r="D68" s="9" t="s">
        <v>747</v>
      </c>
      <c r="E68" s="9" t="s">
        <v>751</v>
      </c>
      <c r="F68" s="9" t="s">
        <v>752</v>
      </c>
      <c r="G68" s="9" t="s">
        <v>753</v>
      </c>
      <c r="L68" s="13">
        <f>$I$16*$L$16</f>
        <v>0</v>
      </c>
      <c r="M68" s="13">
        <f>$I$16*$M$16</f>
        <v>5.4054041324926829E-11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1.4814712775524811E-7</v>
      </c>
      <c r="AB68" s="13">
        <f ca="1">$I$16*$AB$16</f>
        <v>-2.1732045428293765E-9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6.1712702174494909E-11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1.30548279768869E-7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754</v>
      </c>
      <c r="C69" s="9" t="s">
        <v>755</v>
      </c>
      <c r="D69" s="9" t="s">
        <v>756</v>
      </c>
      <c r="E69" s="9" t="s">
        <v>757</v>
      </c>
      <c r="F69" s="9" t="s">
        <v>758</v>
      </c>
      <c r="G69" s="9" t="s">
        <v>759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754</v>
      </c>
      <c r="C70" s="9" t="s">
        <v>755</v>
      </c>
      <c r="D70" s="9" t="s">
        <v>756</v>
      </c>
      <c r="E70" s="9" t="s">
        <v>757</v>
      </c>
      <c r="F70" s="9" t="s">
        <v>758</v>
      </c>
      <c r="G70" s="9" t="s">
        <v>760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754</v>
      </c>
      <c r="C71" s="9" t="s">
        <v>755</v>
      </c>
      <c r="D71" s="9" t="s">
        <v>756</v>
      </c>
      <c r="E71" s="9" t="s">
        <v>757</v>
      </c>
      <c r="F71" s="9" t="s">
        <v>758</v>
      </c>
      <c r="G71" s="9" t="s">
        <v>761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762</v>
      </c>
      <c r="C72" s="9" t="s">
        <v>763</v>
      </c>
      <c r="D72" s="9" t="s">
        <v>764</v>
      </c>
      <c r="E72" s="9" t="s">
        <v>765</v>
      </c>
      <c r="F72" s="9" t="s">
        <v>766</v>
      </c>
      <c r="G72" s="9" t="s">
        <v>767</v>
      </c>
      <c r="L72" s="13">
        <f>$I$20*$L$20</f>
        <v>0</v>
      </c>
      <c r="M72" s="13">
        <f>$I$20*$M$20</f>
        <v>9408.2852931711641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652754.23000310466</v>
      </c>
      <c r="R72" s="13">
        <f>$I$20*$R$20</f>
        <v>103156.10792054563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722696.02314581652</v>
      </c>
      <c r="Y72" s="13">
        <f>$I$20*$Y$20</f>
        <v>0</v>
      </c>
      <c r="Z72" s="13">
        <f>$I$20*$Z$20</f>
        <v>0</v>
      </c>
      <c r="AA72" s="13">
        <f>$I$20*$AA$20</f>
        <v>1445758.0201858913</v>
      </c>
      <c r="AB72" s="13">
        <f ca="1">$I$20*$AB$20</f>
        <v>-38643.352440058559</v>
      </c>
      <c r="AC72" s="13">
        <f ca="1">$I$20*$AC$20</f>
        <v>0</v>
      </c>
      <c r="AD72" s="13">
        <f>$I$20*$AD$20</f>
        <v>95628.809204401492</v>
      </c>
      <c r="AE72" s="13">
        <f>$I$20*$AE$20</f>
        <v>2160.0283072970292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6684.368735981755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328863.99812905269</v>
      </c>
      <c r="AO72" s="13">
        <f>$I$20*$AO$20</f>
        <v>52896.356920366714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766970.29920837423</v>
      </c>
      <c r="AV72" s="13">
        <f>$I$20*$AV$20</f>
        <v>0</v>
      </c>
      <c r="AW72" s="13">
        <f>$I$20*$AW$20</f>
        <v>0</v>
      </c>
      <c r="AX72" s="13">
        <f>$I$20*$AX$20</f>
        <v>1248720.7549425005</v>
      </c>
      <c r="AY72" s="13">
        <f>$I$20*$AY$20</f>
        <v>0</v>
      </c>
      <c r="AZ72" s="13">
        <f>$I$20*$AZ$20</f>
        <v>0</v>
      </c>
      <c r="BA72" s="13">
        <f>$I$20*$BA$20</f>
        <v>111042.77508510649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762</v>
      </c>
      <c r="C73" s="9" t="s">
        <v>763</v>
      </c>
      <c r="D73" s="9" t="s">
        <v>768</v>
      </c>
      <c r="E73" s="9" t="s">
        <v>769</v>
      </c>
      <c r="F73" s="9" t="s">
        <v>770</v>
      </c>
      <c r="G73" s="9" t="s">
        <v>771</v>
      </c>
      <c r="L73" s="13">
        <f>$I$21*$L$21</f>
        <v>0</v>
      </c>
      <c r="M73" s="13">
        <f>$I$21*$M$21</f>
        <v>33.49544565514514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2572.9476322364981</v>
      </c>
      <c r="Y73" s="13">
        <f>$I$21*$Y$21</f>
        <v>0</v>
      </c>
      <c r="Z73" s="13">
        <f>$I$21*$Z$21</f>
        <v>0</v>
      </c>
      <c r="AA73" s="13">
        <f>$I$21*$AA$21</f>
        <v>5147.1982073902591</v>
      </c>
      <c r="AB73" s="13">
        <f ca="1">$I$21*$AB$21</f>
        <v>-110.39160357669066</v>
      </c>
      <c r="AC73" s="13">
        <f ca="1">$I$21*$AC$21</f>
        <v>0</v>
      </c>
      <c r="AD73" s="13">
        <f>$I$21*$AD$21</f>
        <v>340.45838130538073</v>
      </c>
      <c r="AE73" s="13">
        <f>$I$21*$AE$21</f>
        <v>7.6901484729802521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23.797738138057873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2730.5732315421119</v>
      </c>
      <c r="AV73" s="13">
        <f>$I$21*$AV$21</f>
        <v>0</v>
      </c>
      <c r="AW73" s="13">
        <f>$I$21*$AW$21</f>
        <v>0</v>
      </c>
      <c r="AX73" s="13">
        <f>$I$21*$AX$21</f>
        <v>4445.7047041278993</v>
      </c>
      <c r="AY73" s="13">
        <f>$I$21*$AY$21</f>
        <v>0</v>
      </c>
      <c r="AZ73" s="13">
        <f>$I$21*$AZ$21</f>
        <v>0</v>
      </c>
      <c r="BA73" s="13">
        <f>$I$21*$BA$21</f>
        <v>395.33529462157986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762</v>
      </c>
      <c r="C74" s="9" t="s">
        <v>763</v>
      </c>
      <c r="D74" s="9" t="s">
        <v>772</v>
      </c>
      <c r="E74" s="9" t="s">
        <v>773</v>
      </c>
      <c r="F74" s="9" t="s">
        <v>774</v>
      </c>
      <c r="G74" s="9" t="s">
        <v>775</v>
      </c>
      <c r="L74" s="13">
        <f>$I$22*$L$22</f>
        <v>0</v>
      </c>
      <c r="M74" s="13">
        <f>$I$22*$M$22</f>
        <v>123.40883470356191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9479.6311210990225</v>
      </c>
      <c r="Y74" s="13">
        <f>$I$22*$Y$22</f>
        <v>0</v>
      </c>
      <c r="Z74" s="13">
        <f>$I$22*$Z$22</f>
        <v>0</v>
      </c>
      <c r="AA74" s="13">
        <f>$I$22*$AA$22</f>
        <v>18964.062735637068</v>
      </c>
      <c r="AB74" s="13">
        <f ca="1">$I$22*$AB$22</f>
        <v>-406.72094047401669</v>
      </c>
      <c r="AC74" s="13">
        <f ca="1">$I$22*$AC$22</f>
        <v>0</v>
      </c>
      <c r="AD74" s="13">
        <f>$I$22*$AD$22</f>
        <v>1254.3667140462148</v>
      </c>
      <c r="AE74" s="13">
        <f>$I$22*$AE$22</f>
        <v>28.333173157888428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87.679118004125144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10060.378477919721</v>
      </c>
      <c r="AV74" s="13">
        <f>$I$22*$AV$22</f>
        <v>0</v>
      </c>
      <c r="AW74" s="13">
        <f>$I$22*$AW$22</f>
        <v>0</v>
      </c>
      <c r="AX74" s="13">
        <f>$I$22*$AX$22</f>
        <v>16379.517461004225</v>
      </c>
      <c r="AY74" s="13">
        <f>$I$22*$AY$22</f>
        <v>0</v>
      </c>
      <c r="AZ74" s="13">
        <f>$I$22*$AZ$22</f>
        <v>0</v>
      </c>
      <c r="BA74" s="13">
        <f>$I$22*$BA$22</f>
        <v>1456.5522885928326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762</v>
      </c>
      <c r="C75" s="9" t="s">
        <v>763</v>
      </c>
      <c r="D75" s="9" t="s">
        <v>776</v>
      </c>
      <c r="E75" s="9" t="s">
        <v>777</v>
      </c>
      <c r="F75" s="9" t="s">
        <v>778</v>
      </c>
      <c r="G75" s="9" t="s">
        <v>779</v>
      </c>
      <c r="L75" s="13">
        <f>$I$23*$L$23</f>
        <v>0</v>
      </c>
      <c r="M75" s="13">
        <f>$I$23*$M$23</f>
        <v>165.98166374601161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12749.85659623177</v>
      </c>
      <c r="Y75" s="13">
        <f>$I$23*$Y$23</f>
        <v>0</v>
      </c>
      <c r="Z75" s="13">
        <f>$I$23*$Z$23</f>
        <v>0</v>
      </c>
      <c r="AA75" s="13">
        <f>$I$23*$AA$23</f>
        <v>25506.169730925518</v>
      </c>
      <c r="AB75" s="13">
        <f ca="1">$I$23*$AB$23</f>
        <v>-547.02905624528501</v>
      </c>
      <c r="AC75" s="13">
        <f ca="1">$I$23*$AC$23</f>
        <v>0</v>
      </c>
      <c r="AD75" s="13">
        <f>$I$23*$AD$23</f>
        <v>1687.0905121592486</v>
      </c>
      <c r="AE75" s="13">
        <f>$I$23*$AE$23</f>
        <v>38.107378869970198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117.92612674015901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13530.946643251098</v>
      </c>
      <c r="AV75" s="13">
        <f>$I$23*$AV$23</f>
        <v>0</v>
      </c>
      <c r="AW75" s="13">
        <f>$I$23*$AW$23</f>
        <v>0</v>
      </c>
      <c r="AX75" s="13">
        <f>$I$23*$AX$23</f>
        <v>22030.023750445966</v>
      </c>
      <c r="AY75" s="13">
        <f>$I$23*$AY$23</f>
        <v>0</v>
      </c>
      <c r="AZ75" s="13">
        <f>$I$23*$AZ$23</f>
        <v>0</v>
      </c>
      <c r="BA75" s="13">
        <f>$I$23*$BA$23</f>
        <v>1959.0248362236673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762</v>
      </c>
      <c r="C76" s="9" t="s">
        <v>763</v>
      </c>
      <c r="D76" s="9" t="s">
        <v>780</v>
      </c>
      <c r="E76" s="9" t="s">
        <v>781</v>
      </c>
      <c r="F76" s="9" t="s">
        <v>782</v>
      </c>
      <c r="G76" s="9" t="s">
        <v>783</v>
      </c>
      <c r="L76" s="13">
        <f>$I$24*$L$24</f>
        <v>0</v>
      </c>
      <c r="M76" s="13">
        <f>$I$24*$M$24</f>
        <v>50.417527206173617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3872.8147875356726</v>
      </c>
      <c r="Y76" s="13">
        <f>$I$24*$Y$24</f>
        <v>0</v>
      </c>
      <c r="Z76" s="13">
        <f>$I$24*$Z$24</f>
        <v>0</v>
      </c>
      <c r="AA76" s="13">
        <f>$I$24*$AA$24</f>
        <v>7747.5907718458429</v>
      </c>
      <c r="AB76" s="13">
        <f ca="1">$I$24*$AB$24</f>
        <v>-166.16204286286325</v>
      </c>
      <c r="AC76" s="13">
        <f ca="1">$I$24*$AC$24</f>
        <v>0</v>
      </c>
      <c r="AD76" s="13">
        <f>$I$24*$AD$24</f>
        <v>512.4598095740572</v>
      </c>
      <c r="AE76" s="13">
        <f>$I$24*$AE$24</f>
        <v>11.575253359748627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35.820485040676722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4110.0736979917419</v>
      </c>
      <c r="AV76" s="13">
        <f>$I$24*$AV$24</f>
        <v>0</v>
      </c>
      <c r="AW76" s="13">
        <f>$I$24*$AW$24</f>
        <v>0</v>
      </c>
      <c r="AX76" s="13">
        <f>$I$24*$AX$24</f>
        <v>6691.6989306142414</v>
      </c>
      <c r="AY76" s="13">
        <f>$I$24*$AY$24</f>
        <v>0</v>
      </c>
      <c r="AZ76" s="13">
        <f>$I$24*$AZ$24</f>
        <v>0</v>
      </c>
      <c r="BA76" s="13">
        <f>$I$24*$BA$24</f>
        <v>595.06083834064293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784</v>
      </c>
      <c r="C77" s="9" t="s">
        <v>785</v>
      </c>
      <c r="D77" s="9" t="s">
        <v>786</v>
      </c>
      <c r="E77" s="9" t="s">
        <v>787</v>
      </c>
      <c r="F77" s="9" t="s">
        <v>788</v>
      </c>
      <c r="G77" s="9" t="s">
        <v>789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784</v>
      </c>
      <c r="C78" s="9" t="s">
        <v>785</v>
      </c>
      <c r="D78" s="9" t="s">
        <v>790</v>
      </c>
      <c r="E78" s="9" t="s">
        <v>791</v>
      </c>
      <c r="F78" s="9" t="s">
        <v>792</v>
      </c>
      <c r="G78" s="9" t="s">
        <v>793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784</v>
      </c>
      <c r="C79" s="9" t="s">
        <v>785</v>
      </c>
      <c r="D79" s="9" t="s">
        <v>794</v>
      </c>
      <c r="E79" s="9" t="s">
        <v>795</v>
      </c>
      <c r="F79" s="9" t="s">
        <v>796</v>
      </c>
      <c r="G79" s="9" t="s">
        <v>797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784</v>
      </c>
      <c r="C80" s="9" t="s">
        <v>785</v>
      </c>
      <c r="D80" s="9" t="s">
        <v>798</v>
      </c>
      <c r="E80" s="9" t="s">
        <v>799</v>
      </c>
      <c r="F80" s="9" t="s">
        <v>800</v>
      </c>
      <c r="G80" s="9" t="s">
        <v>801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784</v>
      </c>
      <c r="C81" s="9" t="s">
        <v>785</v>
      </c>
      <c r="D81" s="9" t="s">
        <v>802</v>
      </c>
      <c r="E81" s="9" t="s">
        <v>803</v>
      </c>
      <c r="F81" s="9" t="s">
        <v>804</v>
      </c>
      <c r="G81" s="9" t="s">
        <v>805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40</v>
      </c>
      <c r="B82" s="9" t="s">
        <v>806</v>
      </c>
      <c r="C82" s="9" t="s">
        <v>807</v>
      </c>
      <c r="D82" s="9" t="s">
        <v>808</v>
      </c>
      <c r="E82" s="9" t="s">
        <v>809</v>
      </c>
      <c r="F82" s="9" t="s">
        <v>810</v>
      </c>
      <c r="G82" s="9" t="s">
        <v>811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40</v>
      </c>
      <c r="B83" s="9" t="s">
        <v>806</v>
      </c>
      <c r="C83" s="9" t="s">
        <v>807</v>
      </c>
      <c r="D83" s="9" t="s">
        <v>808</v>
      </c>
      <c r="E83" s="9" t="s">
        <v>809</v>
      </c>
      <c r="F83" s="9" t="s">
        <v>810</v>
      </c>
      <c r="G83" s="9" t="s">
        <v>812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40</v>
      </c>
      <c r="B84" s="9" t="s">
        <v>806</v>
      </c>
      <c r="C84" s="9" t="s">
        <v>807</v>
      </c>
      <c r="D84" s="9" t="s">
        <v>808</v>
      </c>
      <c r="E84" s="9" t="s">
        <v>809</v>
      </c>
      <c r="F84" s="9" t="s">
        <v>810</v>
      </c>
      <c r="G84" s="9" t="s">
        <v>813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40</v>
      </c>
      <c r="B85" s="9" t="s">
        <v>814</v>
      </c>
      <c r="C85" s="9" t="s">
        <v>815</v>
      </c>
      <c r="D85" s="9" t="s">
        <v>816</v>
      </c>
      <c r="E85" s="9" t="s">
        <v>817</v>
      </c>
      <c r="F85" s="9" t="s">
        <v>818</v>
      </c>
      <c r="G85" s="9" t="s">
        <v>819</v>
      </c>
      <c r="L85" s="13">
        <f>$I$33*$L$33</f>
        <v>0</v>
      </c>
      <c r="M85" s="13">
        <f>$I$33*$M$33</f>
        <v>6551.7424049137162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454565.03873264685</v>
      </c>
      <c r="R85" s="13">
        <f>$I$33*$R$33</f>
        <v>71835.858026058137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503271.10978912452</v>
      </c>
      <c r="Y85" s="13">
        <f>$I$33*$Y$33</f>
        <v>0</v>
      </c>
      <c r="Z85" s="13">
        <f>$I$33*$Z$33</f>
        <v>0</v>
      </c>
      <c r="AA85" s="13">
        <f>$I$33*$AA$33</f>
        <v>1006797.0765056685</v>
      </c>
      <c r="AB85" s="13">
        <f ca="1">$I$33*$AB$33</f>
        <v>-26910.460616380828</v>
      </c>
      <c r="AC85" s="13">
        <f ca="1">$I$33*$AC$33</f>
        <v>0</v>
      </c>
      <c r="AD85" s="13">
        <f>$I$33*$AD$33</f>
        <v>66593.997192096183</v>
      </c>
      <c r="AE85" s="13">
        <f>$I$33*$AE$33</f>
        <v>1504.2006716148246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4357.7423928255093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214396.39893094209</v>
      </c>
      <c r="AO85" s="13">
        <f>$I$33*$AO$33</f>
        <v>34484.736866338571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500011.16319438239</v>
      </c>
      <c r="AV85" s="13">
        <f>$I$33*$AV$33</f>
        <v>0</v>
      </c>
      <c r="AW85" s="13">
        <f>$I$33*$AW$33</f>
        <v>0</v>
      </c>
      <c r="AX85" s="13">
        <f>$I$33*$AX$33</f>
        <v>814078.87349511881</v>
      </c>
      <c r="AY85" s="13">
        <f>$I$33*$AY$33</f>
        <v>0</v>
      </c>
      <c r="AZ85" s="13">
        <f>$I$33*$AZ$33</f>
        <v>0</v>
      </c>
      <c r="BA85" s="13">
        <f>$I$33*$BA$33</f>
        <v>72392.147638498864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40</v>
      </c>
      <c r="B86" s="9" t="s">
        <v>806</v>
      </c>
      <c r="C86" s="9" t="s">
        <v>807</v>
      </c>
      <c r="D86" s="9" t="s">
        <v>820</v>
      </c>
      <c r="E86" s="9" t="s">
        <v>821</v>
      </c>
      <c r="F86" s="9" t="s">
        <v>822</v>
      </c>
      <c r="G86" s="9" t="s">
        <v>823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40</v>
      </c>
      <c r="B87" s="9" t="s">
        <v>806</v>
      </c>
      <c r="C87" s="9" t="s">
        <v>807</v>
      </c>
      <c r="D87" s="9" t="s">
        <v>820</v>
      </c>
      <c r="E87" s="9" t="s">
        <v>821</v>
      </c>
      <c r="F87" s="9" t="s">
        <v>822</v>
      </c>
      <c r="G87" s="9" t="s">
        <v>824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40</v>
      </c>
      <c r="B88" s="9" t="s">
        <v>806</v>
      </c>
      <c r="C88" s="9" t="s">
        <v>807</v>
      </c>
      <c r="D88" s="9" t="s">
        <v>820</v>
      </c>
      <c r="E88" s="9" t="s">
        <v>821</v>
      </c>
      <c r="F88" s="9" t="s">
        <v>822</v>
      </c>
      <c r="G88" s="9" t="s">
        <v>825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40</v>
      </c>
      <c r="B89" s="9" t="s">
        <v>814</v>
      </c>
      <c r="C89" s="9" t="s">
        <v>815</v>
      </c>
      <c r="D89" s="9" t="s">
        <v>826</v>
      </c>
      <c r="E89" s="9" t="s">
        <v>827</v>
      </c>
      <c r="F89" s="9" t="s">
        <v>828</v>
      </c>
      <c r="G89" s="9" t="s">
        <v>829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40</v>
      </c>
      <c r="B90" s="9" t="s">
        <v>806</v>
      </c>
      <c r="C90" s="9" t="s">
        <v>807</v>
      </c>
      <c r="D90" s="9" t="s">
        <v>830</v>
      </c>
      <c r="E90" s="9" t="s">
        <v>831</v>
      </c>
      <c r="F90" s="9" t="s">
        <v>832</v>
      </c>
      <c r="G90" s="9" t="s">
        <v>833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40</v>
      </c>
      <c r="B91" s="9" t="s">
        <v>806</v>
      </c>
      <c r="C91" s="9" t="s">
        <v>807</v>
      </c>
      <c r="D91" s="9" t="s">
        <v>830</v>
      </c>
      <c r="E91" s="9" t="s">
        <v>831</v>
      </c>
      <c r="F91" s="9" t="s">
        <v>832</v>
      </c>
      <c r="G91" s="9" t="s">
        <v>834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40</v>
      </c>
      <c r="B92" s="9" t="s">
        <v>806</v>
      </c>
      <c r="C92" s="9" t="s">
        <v>807</v>
      </c>
      <c r="D92" s="9" t="s">
        <v>830</v>
      </c>
      <c r="E92" s="9" t="s">
        <v>831</v>
      </c>
      <c r="F92" s="9" t="s">
        <v>832</v>
      </c>
      <c r="G92" s="9" t="s">
        <v>835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40</v>
      </c>
      <c r="B93" s="9" t="s">
        <v>814</v>
      </c>
      <c r="C93" s="9" t="s">
        <v>815</v>
      </c>
      <c r="D93" s="9" t="s">
        <v>836</v>
      </c>
      <c r="E93" s="9" t="s">
        <v>837</v>
      </c>
      <c r="F93" s="9" t="s">
        <v>838</v>
      </c>
      <c r="G93" s="9" t="s">
        <v>839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40</v>
      </c>
      <c r="B94" s="9" t="s">
        <v>840</v>
      </c>
      <c r="C94" s="9" t="s">
        <v>841</v>
      </c>
      <c r="D94" s="9" t="s">
        <v>842</v>
      </c>
      <c r="E94" s="9" t="s">
        <v>843</v>
      </c>
      <c r="F94" s="9" t="s">
        <v>844</v>
      </c>
      <c r="G94" s="9" t="s">
        <v>845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40</v>
      </c>
      <c r="B95" s="9" t="s">
        <v>840</v>
      </c>
      <c r="C95" s="9" t="s">
        <v>841</v>
      </c>
      <c r="D95" s="9" t="s">
        <v>846</v>
      </c>
      <c r="E95" s="9" t="s">
        <v>847</v>
      </c>
      <c r="F95" s="9" t="s">
        <v>848</v>
      </c>
      <c r="G95" s="9" t="s">
        <v>849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40</v>
      </c>
      <c r="B96" s="9" t="s">
        <v>840</v>
      </c>
      <c r="C96" s="9" t="s">
        <v>841</v>
      </c>
      <c r="D96" s="9" t="s">
        <v>850</v>
      </c>
      <c r="E96" s="9" t="s">
        <v>851</v>
      </c>
      <c r="F96" s="9" t="s">
        <v>852</v>
      </c>
      <c r="G96" s="9" t="s">
        <v>853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854</v>
      </c>
      <c r="C97" s="9" t="s">
        <v>855</v>
      </c>
      <c r="D97" s="9" t="s">
        <v>856</v>
      </c>
      <c r="E97" s="9" t="s">
        <v>857</v>
      </c>
      <c r="F97" s="9" t="s">
        <v>858</v>
      </c>
      <c r="G97" s="9" t="s">
        <v>859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854</v>
      </c>
      <c r="C98" s="9" t="s">
        <v>855</v>
      </c>
      <c r="D98" s="9" t="s">
        <v>856</v>
      </c>
      <c r="E98" s="9" t="s">
        <v>857</v>
      </c>
      <c r="F98" s="9" t="s">
        <v>858</v>
      </c>
      <c r="G98" s="9" t="s">
        <v>860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854</v>
      </c>
      <c r="C99" s="9" t="s">
        <v>855</v>
      </c>
      <c r="D99" s="9" t="s">
        <v>856</v>
      </c>
      <c r="E99" s="9" t="s">
        <v>857</v>
      </c>
      <c r="F99" s="9" t="s">
        <v>858</v>
      </c>
      <c r="G99" s="9" t="s">
        <v>861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862</v>
      </c>
      <c r="C100" s="9" t="s">
        <v>863</v>
      </c>
      <c r="D100" s="9" t="s">
        <v>864</v>
      </c>
      <c r="E100" s="9" t="s">
        <v>865</v>
      </c>
      <c r="F100" s="9" t="s">
        <v>866</v>
      </c>
      <c r="G100" s="9" t="s">
        <v>867</v>
      </c>
      <c r="L100" s="13">
        <f>$I$48*$L$48</f>
        <v>0</v>
      </c>
      <c r="M100" s="13">
        <f>$I$48*$M$48</f>
        <v>3029.8428862859751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210212.88137419632</v>
      </c>
      <c r="R100" s="13">
        <f>$I$48*$R$48</f>
        <v>33220.37863656941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232736.92670276895</v>
      </c>
      <c r="Y100" s="13">
        <f>$I$48*$Y$48</f>
        <v>0</v>
      </c>
      <c r="Z100" s="13">
        <f>$I$48*$Z$48</f>
        <v>0</v>
      </c>
      <c r="AA100" s="13">
        <f>$I$48*$AA$48</f>
        <v>465591.71158750542</v>
      </c>
      <c r="AB100" s="13">
        <f ca="1">$I$48*$AB$48</f>
        <v>-12444.699841079011</v>
      </c>
      <c r="AC100" s="13">
        <f ca="1">$I$48*$AC$48</f>
        <v>0</v>
      </c>
      <c r="AD100" s="13">
        <f>$I$48*$AD$48</f>
        <v>30796.288405737167</v>
      </c>
      <c r="AE100" s="13">
        <f>$I$48*$AE$48</f>
        <v>695.61521543043364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2152.6331773470638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105907.31618333237</v>
      </c>
      <c r="AO100" s="13">
        <f>$I$48*$AO$48</f>
        <v>17034.735420060486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246995.00840347674</v>
      </c>
      <c r="AV100" s="13">
        <f>$I$48*$AV$48</f>
        <v>0</v>
      </c>
      <c r="AW100" s="13">
        <f>$I$48*$AW$48</f>
        <v>0</v>
      </c>
      <c r="AX100" s="13">
        <f>$I$48*$AX$48</f>
        <v>402137.8581138819</v>
      </c>
      <c r="AY100" s="13">
        <f>$I$48*$AY$48</f>
        <v>0</v>
      </c>
      <c r="AZ100" s="13">
        <f>$I$48*$AZ$48</f>
        <v>0</v>
      </c>
      <c r="BA100" s="13">
        <f>$I$48*$BA$48</f>
        <v>35760.199832509752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868</v>
      </c>
      <c r="C101" s="9" t="s">
        <v>869</v>
      </c>
      <c r="D101" s="9" t="s">
        <v>870</v>
      </c>
      <c r="E101" s="9" t="s">
        <v>871</v>
      </c>
      <c r="F101" s="9" t="s">
        <v>872</v>
      </c>
      <c r="G101" s="9" t="s">
        <v>873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43</v>
      </c>
      <c r="B102" s="9" t="s">
        <v>874</v>
      </c>
      <c r="C102" s="9" t="s">
        <v>875</v>
      </c>
      <c r="D102" s="9" t="s">
        <v>876</v>
      </c>
      <c r="E102" s="9" t="s">
        <v>877</v>
      </c>
      <c r="F102" s="9" t="s">
        <v>878</v>
      </c>
      <c r="G102" s="9" t="s">
        <v>879</v>
      </c>
      <c r="L102" s="13">
        <f>$I$50*$L$50</f>
        <v>0</v>
      </c>
      <c r="M102" s="13">
        <f>$I$50*$M$50</f>
        <v>594.78114380354702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41266.383346777511</v>
      </c>
      <c r="R102" s="13">
        <f>$I$50*$R$50</f>
        <v>6521.4123453333132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45688.024318410011</v>
      </c>
      <c r="Y102" s="13">
        <f>$I$50*$Y$50</f>
        <v>0</v>
      </c>
      <c r="Z102" s="13">
        <f>$I$50*$Z$50</f>
        <v>0</v>
      </c>
      <c r="AA102" s="13">
        <f>$I$50*$AA$50</f>
        <v>91399.185092045009</v>
      </c>
      <c r="AB102" s="13">
        <f ca="1">$I$50*$AB$50</f>
        <v>-2442.9889877366272</v>
      </c>
      <c r="AC102" s="13">
        <f ca="1">$I$50*$AC$50</f>
        <v>0</v>
      </c>
      <c r="AD102" s="13">
        <f>$I$50*$AD$50</f>
        <v>6045.5450432024127</v>
      </c>
      <c r="AE102" s="13">
        <f>$I$50*$AE$50</f>
        <v>136.55454391829247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422.57822318351833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20790.409608962414</v>
      </c>
      <c r="AO102" s="13">
        <f>$I$50*$AO$50</f>
        <v>3344.047793169319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48486.993922007874</v>
      </c>
      <c r="AV102" s="13">
        <f>$I$50*$AV$50</f>
        <v>0</v>
      </c>
      <c r="AW102" s="13">
        <f>$I$50*$AW$50</f>
        <v>0</v>
      </c>
      <c r="AX102" s="13">
        <f>$I$50*$AX$50</f>
        <v>78942.712276701321</v>
      </c>
      <c r="AY102" s="13">
        <f>$I$50*$AY$50</f>
        <v>0</v>
      </c>
      <c r="AZ102" s="13">
        <f>$I$50*$AZ$50</f>
        <v>0</v>
      </c>
      <c r="BA102" s="13">
        <f>$I$50*$BA$50</f>
        <v>7019.9985138820421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43</v>
      </c>
      <c r="B103" s="9" t="s">
        <v>874</v>
      </c>
      <c r="C103" s="9" t="s">
        <v>875</v>
      </c>
      <c r="D103" s="9" t="s">
        <v>880</v>
      </c>
      <c r="E103" s="9" t="s">
        <v>881</v>
      </c>
      <c r="F103" s="9" t="s">
        <v>882</v>
      </c>
      <c r="G103" s="9" t="s">
        <v>883</v>
      </c>
      <c r="L103" s="13">
        <f>$I$51*$L$51</f>
        <v>0</v>
      </c>
      <c r="M103" s="13">
        <f>$I$51*$M$51</f>
        <v>20.963489784883418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1454.4634018105105</v>
      </c>
      <c r="R103" s="13">
        <f>$I$51*$R$51</f>
        <v>229.85187494370635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1610.3073223969641</v>
      </c>
      <c r="Y103" s="13">
        <f>$I$51*$Y$51</f>
        <v>0</v>
      </c>
      <c r="Z103" s="13">
        <f>$I$51*$Z$51</f>
        <v>0</v>
      </c>
      <c r="AA103" s="13">
        <f>$I$51*$AA$51</f>
        <v>3221.430105821602</v>
      </c>
      <c r="AB103" s="13">
        <f ca="1">$I$51*$AB$51</f>
        <v>-86.104906355126545</v>
      </c>
      <c r="AC103" s="13">
        <f ca="1">$I$51*$AC$51</f>
        <v>0</v>
      </c>
      <c r="AD103" s="13">
        <f>$I$51*$AD$51</f>
        <v>213.07958915235295</v>
      </c>
      <c r="AE103" s="13">
        <f>$I$51*$AE$51</f>
        <v>4.8129632493125216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14.89407382414911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732.77296027558725</v>
      </c>
      <c r="AO103" s="13">
        <f>$I$51*$AO$51</f>
        <v>117.86337291052654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1708.9590219414331</v>
      </c>
      <c r="AV103" s="13">
        <f>$I$51*$AV$51</f>
        <v>0</v>
      </c>
      <c r="AW103" s="13">
        <f>$I$51*$AW$51</f>
        <v>0</v>
      </c>
      <c r="AX103" s="13">
        <f>$I$51*$AX$51</f>
        <v>2782.3927500805671</v>
      </c>
      <c r="AY103" s="13">
        <f>$I$51*$AY$51</f>
        <v>0</v>
      </c>
      <c r="AZ103" s="13">
        <f>$I$51*$AZ$51</f>
        <v>0</v>
      </c>
      <c r="BA103" s="13">
        <f>$I$51*$BA$51</f>
        <v>247.42490354447139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1813-6519-46F4-8B9D-48B9053DD9C1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8.7109375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8.7109375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11" t="s">
        <v>63</v>
      </c>
      <c r="B1" s="111" t="s">
        <v>64</v>
      </c>
      <c r="C1" s="111" t="s">
        <v>65</v>
      </c>
      <c r="D1" s="111" t="s">
        <v>66</v>
      </c>
      <c r="E1" s="111" t="s">
        <v>67</v>
      </c>
      <c r="F1" s="111" t="s">
        <v>15</v>
      </c>
      <c r="G1" s="111" t="s">
        <v>69</v>
      </c>
      <c r="H1" s="111" t="s">
        <v>70</v>
      </c>
      <c r="I1" s="111" t="s">
        <v>512</v>
      </c>
      <c r="J1" s="95"/>
      <c r="L1" s="109" t="s">
        <v>884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X1" s="109" t="s">
        <v>885</v>
      </c>
      <c r="Y1" s="109"/>
      <c r="Z1" s="109"/>
      <c r="AA1" s="109"/>
      <c r="AB1" s="109"/>
      <c r="AC1" s="109"/>
      <c r="AD1" s="109"/>
      <c r="AE1" s="109"/>
      <c r="AF1" s="109"/>
      <c r="AG1" s="109"/>
      <c r="AH1" s="109"/>
    </row>
    <row r="2" spans="1:34" ht="11.25" customHeigh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95"/>
      <c r="L2" s="109" t="s">
        <v>439</v>
      </c>
      <c r="M2" s="109"/>
      <c r="N2" s="109"/>
      <c r="O2" s="109"/>
      <c r="P2" s="109"/>
      <c r="Q2" s="109"/>
      <c r="R2" s="109"/>
      <c r="S2" s="109"/>
      <c r="T2" s="109"/>
      <c r="U2" s="109"/>
      <c r="V2" s="109"/>
      <c r="X2" s="109" t="s">
        <v>439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</row>
    <row r="3" spans="1:34" ht="11.25" customHeight="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95"/>
      <c r="L3" s="109" t="s">
        <v>412</v>
      </c>
      <c r="M3" s="109"/>
      <c r="N3" s="109"/>
      <c r="O3" s="109"/>
      <c r="P3" s="109"/>
      <c r="Q3" s="24" t="s">
        <v>443</v>
      </c>
      <c r="R3" s="109" t="s">
        <v>421</v>
      </c>
      <c r="S3" s="109"/>
      <c r="T3" s="109"/>
      <c r="U3" s="24" t="s">
        <v>431</v>
      </c>
      <c r="V3" s="24" t="s">
        <v>434</v>
      </c>
      <c r="X3" s="109" t="s">
        <v>412</v>
      </c>
      <c r="Y3" s="109"/>
      <c r="Z3" s="109"/>
      <c r="AA3" s="109"/>
      <c r="AB3" s="109"/>
      <c r="AC3" s="24" t="s">
        <v>443</v>
      </c>
      <c r="AD3" s="109" t="s">
        <v>421</v>
      </c>
      <c r="AE3" s="109"/>
      <c r="AF3" s="109"/>
      <c r="AG3" s="24" t="s">
        <v>431</v>
      </c>
      <c r="AH3" s="24" t="s">
        <v>434</v>
      </c>
    </row>
    <row r="4" spans="1:34" ht="11.25" customHeight="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95"/>
      <c r="L4" s="24" t="s">
        <v>414</v>
      </c>
      <c r="M4" s="24" t="s">
        <v>440</v>
      </c>
      <c r="N4" s="24" t="s">
        <v>441</v>
      </c>
      <c r="O4" s="24" t="s">
        <v>500</v>
      </c>
      <c r="P4" s="24" t="s">
        <v>442</v>
      </c>
      <c r="Q4" s="24" t="s">
        <v>444</v>
      </c>
      <c r="R4" s="24" t="s">
        <v>445</v>
      </c>
      <c r="S4" s="24" t="s">
        <v>446</v>
      </c>
      <c r="T4" s="24" t="s">
        <v>447</v>
      </c>
      <c r="U4" s="24" t="s">
        <v>432</v>
      </c>
      <c r="V4" s="24" t="s">
        <v>448</v>
      </c>
      <c r="X4" s="24" t="s">
        <v>414</v>
      </c>
      <c r="Y4" s="24" t="s">
        <v>440</v>
      </c>
      <c r="Z4" s="24" t="s">
        <v>441</v>
      </c>
      <c r="AA4" s="24" t="s">
        <v>500</v>
      </c>
      <c r="AB4" s="24" t="s">
        <v>442</v>
      </c>
      <c r="AC4" s="24" t="s">
        <v>444</v>
      </c>
      <c r="AD4" s="24" t="s">
        <v>445</v>
      </c>
      <c r="AE4" s="24" t="s">
        <v>446</v>
      </c>
      <c r="AF4" s="24" t="s">
        <v>447</v>
      </c>
      <c r="AG4" s="24" t="s">
        <v>432</v>
      </c>
      <c r="AH4" s="24" t="s">
        <v>448</v>
      </c>
    </row>
    <row r="5" spans="1:34" ht="11.25" customHeight="1" x14ac:dyDescent="0.25">
      <c r="A5" s="112" t="s">
        <v>35</v>
      </c>
      <c r="B5" s="112" t="s">
        <v>72</v>
      </c>
      <c r="C5" s="112" t="s">
        <v>25</v>
      </c>
      <c r="D5" s="112" t="s">
        <v>25</v>
      </c>
      <c r="E5" s="112" t="s">
        <v>25</v>
      </c>
      <c r="F5" s="112" t="s">
        <v>25</v>
      </c>
      <c r="G5" s="23" t="s">
        <v>74</v>
      </c>
      <c r="H5" s="23" t="s">
        <v>73</v>
      </c>
      <c r="I5" s="23">
        <f>'MERCADO TE'!$U$2</f>
        <v>397.35799999999995</v>
      </c>
      <c r="J5" s="15"/>
      <c r="L5" s="20">
        <f>('TE BE'!$L$5+'TE BF'!$L$5+'TE CVA'!$L$5)*1</f>
        <v>0</v>
      </c>
      <c r="M5" s="20">
        <f>('TE BE'!$M$5+'TE BF'!$M$5+'TE CVA'!$M$5)*1</f>
        <v>24.715135284817496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-18.931718437145715</v>
      </c>
      <c r="Q5" s="20">
        <f>('TE BE'!$R$5+'TE BF'!$R$5+'TE CVA'!$R$5)*1</f>
        <v>177.72755931675965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-2.1047668860967943</v>
      </c>
      <c r="V5" s="20">
        <f>('TE BE'!$Z$5+'TE BF'!$Z$5+'TE CVA'!$Z$5)*1</f>
        <v>4.014614717020903</v>
      </c>
      <c r="X5" s="20">
        <v>0</v>
      </c>
      <c r="Y5" s="20">
        <v>5.5738446687868199</v>
      </c>
      <c r="Z5" s="20">
        <v>0</v>
      </c>
      <c r="AA5" s="20">
        <v>0</v>
      </c>
      <c r="AB5" s="20">
        <v>0</v>
      </c>
      <c r="AC5" s="20">
        <v>262.33752985672203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12"/>
      <c r="B6" s="112"/>
      <c r="C6" s="112"/>
      <c r="D6" s="112"/>
      <c r="E6" s="112"/>
      <c r="F6" s="112"/>
      <c r="G6" s="23" t="s">
        <v>75</v>
      </c>
      <c r="H6" s="23" t="s">
        <v>73</v>
      </c>
      <c r="I6" s="23">
        <f>'MERCADO TE'!$U$3</f>
        <v>15580.922999999999</v>
      </c>
      <c r="J6" s="15"/>
      <c r="L6" s="20">
        <f>('TE BE'!$L$6+'TE BF'!$L$6+'TE CVA'!$L$6)*1</f>
        <v>0</v>
      </c>
      <c r="M6" s="20">
        <f>('TE BE'!$M$6+'TE BF'!$M$6+'TE CVA'!$M$6)*1</f>
        <v>24.715135284817496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-18.931718437145715</v>
      </c>
      <c r="Q6" s="20">
        <f>('TE BE'!$R$6+'TE BF'!$R$6+'TE CVA'!$R$6)*1</f>
        <v>177.72755931675965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-2.1047668860967943</v>
      </c>
      <c r="V6" s="20">
        <f>('TE BE'!$Z$6+'TE BF'!$Z$6+'TE CVA'!$Z$6)*1</f>
        <v>4.014614717020903</v>
      </c>
      <c r="X6" s="20">
        <v>0</v>
      </c>
      <c r="Y6" s="20">
        <v>5.5738446687868199</v>
      </c>
      <c r="Z6" s="20">
        <v>0</v>
      </c>
      <c r="AA6" s="20">
        <v>0</v>
      </c>
      <c r="AB6" s="20">
        <v>0</v>
      </c>
      <c r="AC6" s="20">
        <v>262.33752985672203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12" t="s">
        <v>22</v>
      </c>
      <c r="B7" s="112" t="s">
        <v>72</v>
      </c>
      <c r="C7" s="112" t="s">
        <v>24</v>
      </c>
      <c r="D7" s="112" t="s">
        <v>24</v>
      </c>
      <c r="E7" s="112" t="s">
        <v>25</v>
      </c>
      <c r="F7" s="112" t="s">
        <v>25</v>
      </c>
      <c r="G7" s="23" t="s">
        <v>74</v>
      </c>
      <c r="H7" s="23" t="s">
        <v>73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24.715135284817496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-18.931718437145715</v>
      </c>
      <c r="Q7" s="20">
        <f>('TE BE'!$R$7+'TE BF'!$R$7+'TE CVA'!$R$7)*1</f>
        <v>177.72755931675965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-2.1047668860967943</v>
      </c>
      <c r="V7" s="20">
        <f>('TE BE'!$Z$7+'TE BF'!$Z$7+'TE CVA'!$Z$7)*1</f>
        <v>4.014614717020903</v>
      </c>
      <c r="X7" s="20">
        <v>0</v>
      </c>
      <c r="Y7" s="20">
        <v>5.5738446687868199</v>
      </c>
      <c r="Z7" s="20">
        <v>0</v>
      </c>
      <c r="AA7" s="20">
        <v>0</v>
      </c>
      <c r="AB7" s="20">
        <v>0</v>
      </c>
      <c r="AC7" s="20">
        <v>262.33752985672203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12"/>
      <c r="B8" s="112"/>
      <c r="C8" s="112"/>
      <c r="D8" s="112"/>
      <c r="E8" s="112"/>
      <c r="F8" s="112"/>
      <c r="G8" s="23" t="s">
        <v>85</v>
      </c>
      <c r="H8" s="23" t="s">
        <v>73</v>
      </c>
      <c r="I8" s="23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24.715135284817496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-18.931718437145715</v>
      </c>
      <c r="Q8" s="20">
        <f>('TE BE'!$R$8+'TE BF'!$R$8+'TE CVA'!$R$8)*1</f>
        <v>177.72755931675965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-2.1047668860967943</v>
      </c>
      <c r="V8" s="20">
        <f>('TE BE'!$Z$8+'TE BF'!$Z$8+'TE CVA'!$Z$8)*1</f>
        <v>4.014614717020903</v>
      </c>
      <c r="X8" s="20">
        <v>0</v>
      </c>
      <c r="Y8" s="20">
        <v>5.5738446687868199</v>
      </c>
      <c r="Z8" s="20">
        <v>0</v>
      </c>
      <c r="AA8" s="20">
        <v>0</v>
      </c>
      <c r="AB8" s="20">
        <v>0</v>
      </c>
      <c r="AC8" s="20">
        <v>262.33752985672203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12"/>
      <c r="B9" s="112"/>
      <c r="C9" s="112"/>
      <c r="D9" s="112"/>
      <c r="E9" s="112"/>
      <c r="F9" s="112"/>
      <c r="G9" s="23" t="s">
        <v>75</v>
      </c>
      <c r="H9" s="23" t="s">
        <v>73</v>
      </c>
      <c r="I9" s="23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24.715135284817496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-18.931718437145715</v>
      </c>
      <c r="Q9" s="20">
        <f>('TE BE'!$R$9+'TE BF'!$R$9+'TE CVA'!$R$9)*1</f>
        <v>177.72755931675965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-2.1047668860967943</v>
      </c>
      <c r="V9" s="20">
        <f>('TE BE'!$Z$9+'TE BF'!$Z$9+'TE CVA'!$Z$9)*1</f>
        <v>4.014614717020903</v>
      </c>
      <c r="X9" s="20">
        <v>0</v>
      </c>
      <c r="Y9" s="20">
        <v>5.5738446687868199</v>
      </c>
      <c r="Z9" s="20">
        <v>0</v>
      </c>
      <c r="AA9" s="20">
        <v>0</v>
      </c>
      <c r="AB9" s="20">
        <v>0</v>
      </c>
      <c r="AC9" s="20">
        <v>262.33752985672203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12"/>
      <c r="B10" s="112" t="s">
        <v>86</v>
      </c>
      <c r="C10" s="112" t="s">
        <v>24</v>
      </c>
      <c r="D10" s="22" t="s">
        <v>24</v>
      </c>
      <c r="E10" s="22" t="s">
        <v>25</v>
      </c>
      <c r="F10" s="22" t="s">
        <v>25</v>
      </c>
      <c r="G10" s="23" t="s">
        <v>79</v>
      </c>
      <c r="H10" s="23" t="s">
        <v>73</v>
      </c>
      <c r="I10" s="23">
        <f>'MERCADO TE'!$U$7</f>
        <v>6839.3490000000002</v>
      </c>
      <c r="J10" s="15"/>
      <c r="L10" s="20">
        <f>('TE BE'!$L$10+'TE BF'!$L$10+'TE CVA'!$L$10)*1</f>
        <v>0</v>
      </c>
      <c r="M10" s="20">
        <f>('TE BE'!$M$10+'TE BF'!$M$10+'TE CVA'!$M$10)*1</f>
        <v>24.715135284817496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-18.931718437145715</v>
      </c>
      <c r="Q10" s="20">
        <f>('TE BE'!$R$10+'TE BF'!$R$10+'TE CVA'!$R$10)*1</f>
        <v>177.72755931675965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-2.1047668860967943</v>
      </c>
      <c r="V10" s="20">
        <f>('TE BE'!$Z$10+'TE BF'!$Z$10+'TE CVA'!$Z$10)*1</f>
        <v>4.014614717020903</v>
      </c>
      <c r="X10" s="20">
        <v>0</v>
      </c>
      <c r="Y10" s="20">
        <v>5.5738446687868199</v>
      </c>
      <c r="Z10" s="20">
        <v>0</v>
      </c>
      <c r="AA10" s="20">
        <v>0</v>
      </c>
      <c r="AB10" s="20">
        <v>0</v>
      </c>
      <c r="AC10" s="20">
        <v>262.33752985672203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12"/>
      <c r="B11" s="112"/>
      <c r="C11" s="112"/>
      <c r="D11" s="22" t="s">
        <v>29</v>
      </c>
      <c r="E11" s="22" t="s">
        <v>25</v>
      </c>
      <c r="F11" s="22" t="s">
        <v>25</v>
      </c>
      <c r="G11" s="23" t="s">
        <v>79</v>
      </c>
      <c r="H11" s="23" t="s">
        <v>73</v>
      </c>
      <c r="I11" s="23">
        <f>'MERCADO TE'!$U$8</f>
        <v>69.570000000000007</v>
      </c>
      <c r="J11" s="15"/>
      <c r="L11" s="20">
        <f>('TE BE'!$L$11+'TE BF'!$L$11+'TE CVA'!$L$11)*(1 - 0.65)</f>
        <v>0</v>
      </c>
      <c r="M11" s="20">
        <f>('TE BE'!$M$11+'TE BF'!$M$11+'TE CVA'!$M$11)*(1 - 0.65)</f>
        <v>8.6502973496861237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-6.6261014530009996</v>
      </c>
      <c r="Q11" s="20">
        <f>('TE BE'!$R$11+'TE BF'!$R$11+'TE CVA'!$R$11)*(1 - 0.65)</f>
        <v>62.204645760865873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-0.73666841013387796</v>
      </c>
      <c r="V11" s="20">
        <f>('TE BE'!$Z$11+'TE BF'!$Z$11+'TE CVA'!$Z$11)*(1 - 0.65)</f>
        <v>1.4051151509573159</v>
      </c>
      <c r="X11" s="20">
        <v>0</v>
      </c>
      <c r="Y11" s="20">
        <v>1.9508456340753899</v>
      </c>
      <c r="Z11" s="20">
        <v>0</v>
      </c>
      <c r="AA11" s="20">
        <v>0</v>
      </c>
      <c r="AB11" s="20">
        <v>0</v>
      </c>
      <c r="AC11" s="20">
        <v>91.818135449852804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12"/>
      <c r="B12" s="112"/>
      <c r="C12" s="112"/>
      <c r="D12" s="22" t="s">
        <v>30</v>
      </c>
      <c r="E12" s="22" t="s">
        <v>25</v>
      </c>
      <c r="F12" s="22" t="s">
        <v>25</v>
      </c>
      <c r="G12" s="23" t="s">
        <v>79</v>
      </c>
      <c r="H12" s="23" t="s">
        <v>73</v>
      </c>
      <c r="I12" s="23">
        <f>'MERCADO TE'!$U$9</f>
        <v>149.51999999999998</v>
      </c>
      <c r="J12" s="15"/>
      <c r="L12" s="20">
        <f>('TE BE'!$L$12+'TE BF'!$L$12+'TE CVA'!$L$12)*(1 - 0.4)</f>
        <v>0</v>
      </c>
      <c r="M12" s="20">
        <f>('TE BE'!$M$12+'TE BF'!$M$12+'TE CVA'!$M$12)*(1 - 0.4)</f>
        <v>14.829081170890497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-11.359031062287428</v>
      </c>
      <c r="Q12" s="20">
        <f>('TE BE'!$R$12+'TE BF'!$R$12+'TE CVA'!$R$12)*(1 - 0.4)</f>
        <v>106.63653559005579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-1.2628601316580765</v>
      </c>
      <c r="V12" s="20">
        <f>('TE BE'!$Z$12+'TE BF'!$Z$12+'TE CVA'!$Z$12)*(1 - 0.4)</f>
        <v>2.4087688302125416</v>
      </c>
      <c r="X12" s="20">
        <v>0</v>
      </c>
      <c r="Y12" s="20">
        <v>3.34430680127209</v>
      </c>
      <c r="Z12" s="20">
        <v>0</v>
      </c>
      <c r="AA12" s="20">
        <v>0</v>
      </c>
      <c r="AB12" s="20">
        <v>0</v>
      </c>
      <c r="AC12" s="20">
        <v>157.40251791403301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12"/>
      <c r="B13" s="112"/>
      <c r="C13" s="112"/>
      <c r="D13" s="22" t="s">
        <v>31</v>
      </c>
      <c r="E13" s="22" t="s">
        <v>25</v>
      </c>
      <c r="F13" s="22" t="s">
        <v>25</v>
      </c>
      <c r="G13" s="23" t="s">
        <v>79</v>
      </c>
      <c r="H13" s="23" t="s">
        <v>73</v>
      </c>
      <c r="I13" s="23">
        <f>'MERCADO TE'!$U$10</f>
        <v>134.06700000000001</v>
      </c>
      <c r="J13" s="15"/>
      <c r="L13" s="20">
        <f>('TE BE'!$L$13+'TE BF'!$L$13+'TE CVA'!$L$13)*(1 - 0.1)</f>
        <v>0</v>
      </c>
      <c r="M13" s="20">
        <f>('TE BE'!$M$13+'TE BF'!$M$13+'TE CVA'!$M$13)*(1 - 0.1)</f>
        <v>22.243621756335745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-17.038546593431143</v>
      </c>
      <c r="Q13" s="20">
        <f>('TE BE'!$R$13+'TE BF'!$R$13+'TE CVA'!$R$13)*(1 - 0.1)</f>
        <v>159.95480338508369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-1.8942901974871149</v>
      </c>
      <c r="V13" s="20">
        <f>('TE BE'!$Z$13+'TE BF'!$Z$13+'TE CVA'!$Z$13)*(1 - 0.1)</f>
        <v>3.6131532453188129</v>
      </c>
      <c r="X13" s="20">
        <v>0</v>
      </c>
      <c r="Y13" s="20">
        <v>5.0164602019081403</v>
      </c>
      <c r="Z13" s="20">
        <v>0</v>
      </c>
      <c r="AA13" s="20">
        <v>0</v>
      </c>
      <c r="AB13" s="20">
        <v>0</v>
      </c>
      <c r="AC13" s="20">
        <v>236.10377687105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12"/>
      <c r="B14" s="112"/>
      <c r="C14" s="112"/>
      <c r="D14" s="22" t="s">
        <v>32</v>
      </c>
      <c r="E14" s="22" t="s">
        <v>25</v>
      </c>
      <c r="F14" s="22" t="s">
        <v>25</v>
      </c>
      <c r="G14" s="23" t="s">
        <v>79</v>
      </c>
      <c r="H14" s="23" t="s">
        <v>73</v>
      </c>
      <c r="I14" s="23">
        <f>'MERCADO TE'!$U$11</f>
        <v>36.650999999999996</v>
      </c>
      <c r="J14" s="15"/>
      <c r="L14" s="20">
        <f>('TE BE'!$L$14+'TE BF'!$L$14+'TE CVA'!$L$14)*1</f>
        <v>0</v>
      </c>
      <c r="M14" s="20">
        <f>('TE BE'!$M$14+'TE BF'!$M$14+'TE CVA'!$M$14)*1</f>
        <v>24.715135284817496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-18.931718437145715</v>
      </c>
      <c r="Q14" s="20">
        <f>('TE BE'!$R$14+'TE BF'!$R$14+'TE CVA'!$R$14)*1</f>
        <v>177.72755931675965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-2.1047668860967943</v>
      </c>
      <c r="V14" s="20">
        <f>('TE BE'!$Z$14+'TE BF'!$Z$14+'TE CVA'!$Z$14)*1</f>
        <v>4.014614717020903</v>
      </c>
      <c r="X14" s="20">
        <v>0</v>
      </c>
      <c r="Y14" s="20">
        <v>5.5738446687868199</v>
      </c>
      <c r="Z14" s="20">
        <v>0</v>
      </c>
      <c r="AA14" s="20">
        <v>0</v>
      </c>
      <c r="AB14" s="20">
        <v>0</v>
      </c>
      <c r="AC14" s="20">
        <v>262.33752985672203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12"/>
      <c r="B15" s="112" t="s">
        <v>88</v>
      </c>
      <c r="C15" s="112" t="s">
        <v>24</v>
      </c>
      <c r="D15" s="22" t="s">
        <v>24</v>
      </c>
      <c r="E15" s="22" t="s">
        <v>25</v>
      </c>
      <c r="F15" s="22" t="s">
        <v>25</v>
      </c>
      <c r="G15" s="23" t="s">
        <v>79</v>
      </c>
      <c r="H15" s="23" t="s">
        <v>73</v>
      </c>
      <c r="I15" s="23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24.715135284817496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-18.931718437145715</v>
      </c>
      <c r="Q15" s="20">
        <f>('TE BE'!$R$15+'TE BF'!$R$15+'TE CVA'!$R$15)*1</f>
        <v>177.72755931675965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-2.1047668860967943</v>
      </c>
      <c r="V15" s="20">
        <f>('TE BE'!$Z$15+'TE BF'!$Z$15+'TE CVA'!$Z$15)*1</f>
        <v>4.014614717020903</v>
      </c>
      <c r="X15" s="20">
        <v>0</v>
      </c>
      <c r="Y15" s="20">
        <v>5.5738446687868199</v>
      </c>
      <c r="Z15" s="20">
        <v>0</v>
      </c>
      <c r="AA15" s="20">
        <v>0</v>
      </c>
      <c r="AB15" s="20">
        <v>0</v>
      </c>
      <c r="AC15" s="20">
        <v>262.33752985672203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12"/>
      <c r="B16" s="112"/>
      <c r="C16" s="112"/>
      <c r="D16" s="22" t="s">
        <v>29</v>
      </c>
      <c r="E16" s="22" t="s">
        <v>25</v>
      </c>
      <c r="F16" s="22" t="s">
        <v>25</v>
      </c>
      <c r="G16" s="23" t="s">
        <v>79</v>
      </c>
      <c r="H16" s="23" t="s">
        <v>73</v>
      </c>
      <c r="I16" s="23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8.6502973496861237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-6.6261014530009996</v>
      </c>
      <c r="Q16" s="20">
        <f>('TE BE'!$R$16+'TE BF'!$R$16+'TE CVA'!$R$16)*(1 - 0.65)</f>
        <v>62.204645760865873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-0.73666841013387796</v>
      </c>
      <c r="V16" s="20">
        <f>('TE BE'!$Z$16+'TE BF'!$Z$16+'TE CVA'!$Z$16)*(1 - 0.65)</f>
        <v>1.4051151509573159</v>
      </c>
      <c r="X16" s="20">
        <v>0</v>
      </c>
      <c r="Y16" s="20">
        <v>1.9508456340753899</v>
      </c>
      <c r="Z16" s="20">
        <v>0</v>
      </c>
      <c r="AA16" s="20">
        <v>0</v>
      </c>
      <c r="AB16" s="20">
        <v>0</v>
      </c>
      <c r="AC16" s="20">
        <v>91.818135449852804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12"/>
      <c r="B17" s="112"/>
      <c r="C17" s="112"/>
      <c r="D17" s="22" t="s">
        <v>30</v>
      </c>
      <c r="E17" s="22" t="s">
        <v>25</v>
      </c>
      <c r="F17" s="22" t="s">
        <v>25</v>
      </c>
      <c r="G17" s="23" t="s">
        <v>79</v>
      </c>
      <c r="H17" s="23" t="s">
        <v>73</v>
      </c>
      <c r="I17" s="23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14.829081170890497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-11.359031062287428</v>
      </c>
      <c r="Q17" s="20">
        <f>('TE BE'!$R$17+'TE BF'!$R$17+'TE CVA'!$R$17)*(1 - 0.4)</f>
        <v>106.63653559005579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-1.2628601316580765</v>
      </c>
      <c r="V17" s="20">
        <f>('TE BE'!$Z$17+'TE BF'!$Z$17+'TE CVA'!$Z$17)*(1 - 0.4)</f>
        <v>2.4087688302125416</v>
      </c>
      <c r="X17" s="20">
        <v>0</v>
      </c>
      <c r="Y17" s="20">
        <v>3.34430680127209</v>
      </c>
      <c r="Z17" s="20">
        <v>0</v>
      </c>
      <c r="AA17" s="20">
        <v>0</v>
      </c>
      <c r="AB17" s="20">
        <v>0</v>
      </c>
      <c r="AC17" s="20">
        <v>157.40251791403301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12"/>
      <c r="B18" s="112"/>
      <c r="C18" s="112"/>
      <c r="D18" s="22" t="s">
        <v>31</v>
      </c>
      <c r="E18" s="22" t="s">
        <v>25</v>
      </c>
      <c r="F18" s="22" t="s">
        <v>25</v>
      </c>
      <c r="G18" s="23" t="s">
        <v>79</v>
      </c>
      <c r="H18" s="23" t="s">
        <v>73</v>
      </c>
      <c r="I18" s="23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22.243621756335745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-17.038546593431143</v>
      </c>
      <c r="Q18" s="20">
        <f>('TE BE'!$R$18+'TE BF'!$R$18+'TE CVA'!$R$18)*(1 - 0.1)</f>
        <v>159.95480338508369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-1.8942901974871149</v>
      </c>
      <c r="V18" s="20">
        <f>('TE BE'!$Z$18+'TE BF'!$Z$18+'TE CVA'!$Z$18)*(1 - 0.1)</f>
        <v>3.6131532453188129</v>
      </c>
      <c r="X18" s="20">
        <v>0</v>
      </c>
      <c r="Y18" s="20">
        <v>5.0164602019081403</v>
      </c>
      <c r="Z18" s="20">
        <v>0</v>
      </c>
      <c r="AA18" s="20">
        <v>0</v>
      </c>
      <c r="AB18" s="20">
        <v>0</v>
      </c>
      <c r="AC18" s="20">
        <v>236.10377687105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12"/>
      <c r="B19" s="112"/>
      <c r="C19" s="112"/>
      <c r="D19" s="22" t="s">
        <v>32</v>
      </c>
      <c r="E19" s="22" t="s">
        <v>25</v>
      </c>
      <c r="F19" s="22" t="s">
        <v>25</v>
      </c>
      <c r="G19" s="23" t="s">
        <v>79</v>
      </c>
      <c r="H19" s="23" t="s">
        <v>73</v>
      </c>
      <c r="I19" s="23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24.715135284817496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-18.931718437145715</v>
      </c>
      <c r="Q19" s="20">
        <f>('TE BE'!$R$19+'TE BF'!$R$19+'TE CVA'!$R$19)*1</f>
        <v>177.72755931675965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-2.1047668860967943</v>
      </c>
      <c r="V19" s="20">
        <f>('TE BE'!$Z$19+'TE BF'!$Z$19+'TE CVA'!$Z$19)*1</f>
        <v>4.014614717020903</v>
      </c>
      <c r="X19" s="20">
        <v>0</v>
      </c>
      <c r="Y19" s="20">
        <v>5.5738446687868199</v>
      </c>
      <c r="Z19" s="20">
        <v>0</v>
      </c>
      <c r="AA19" s="20">
        <v>0</v>
      </c>
      <c r="AB19" s="20">
        <v>0</v>
      </c>
      <c r="AC19" s="20">
        <v>262.33752985672203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12" t="s">
        <v>40</v>
      </c>
      <c r="B20" s="112" t="s">
        <v>72</v>
      </c>
      <c r="C20" s="112" t="s">
        <v>41</v>
      </c>
      <c r="D20" s="112" t="s">
        <v>25</v>
      </c>
      <c r="E20" s="112" t="s">
        <v>25</v>
      </c>
      <c r="F20" s="112" t="s">
        <v>25</v>
      </c>
      <c r="G20" s="23" t="s">
        <v>74</v>
      </c>
      <c r="H20" s="23" t="s">
        <v>73</v>
      </c>
      <c r="I20" s="23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23.232227167728446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-17.79581533091697</v>
      </c>
      <c r="Q20" s="20">
        <f>('TE BE'!$R$20+'TE BF'!$R$20+'TE CVA'!$R$20)*(1 - CUSTOS!$M$38)</f>
        <v>167.06390575775407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-1.9784808729309866</v>
      </c>
      <c r="V20" s="20">
        <f>('TE BE'!$Z$20+'TE BF'!$Z$20+'TE CVA'!$Z$20)*(1 - CUSTOS!$M$38)</f>
        <v>3.7737378339996486</v>
      </c>
      <c r="X20" s="20">
        <v>0</v>
      </c>
      <c r="Y20" s="20">
        <v>4.9049833085324002</v>
      </c>
      <c r="Z20" s="20">
        <v>0</v>
      </c>
      <c r="AA20" s="20">
        <v>0</v>
      </c>
      <c r="AB20" s="20">
        <v>0</v>
      </c>
      <c r="AC20" s="20">
        <v>230.85702627391601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12"/>
      <c r="B21" s="112"/>
      <c r="C21" s="112"/>
      <c r="D21" s="112"/>
      <c r="E21" s="112"/>
      <c r="F21" s="112"/>
      <c r="G21" s="23" t="s">
        <v>85</v>
      </c>
      <c r="H21" s="23" t="s">
        <v>73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23.232227167728446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-17.79581533091697</v>
      </c>
      <c r="Q21" s="20">
        <f>('TE BE'!$R$21+'TE BF'!$R$21+'TE CVA'!$R$21)*(1 - CUSTOS!$M$38)</f>
        <v>167.06390575775407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-1.9784808729309866</v>
      </c>
      <c r="V21" s="20">
        <f>('TE BE'!$Z$21+'TE BF'!$Z$21+'TE CVA'!$Z$21)*(1 - CUSTOS!$M$38)</f>
        <v>3.7737378339996486</v>
      </c>
      <c r="X21" s="20">
        <v>0</v>
      </c>
      <c r="Y21" s="20">
        <v>4.9049833085324002</v>
      </c>
      <c r="Z21" s="20">
        <v>0</v>
      </c>
      <c r="AA21" s="20">
        <v>0</v>
      </c>
      <c r="AB21" s="20">
        <v>0</v>
      </c>
      <c r="AC21" s="20">
        <v>230.85702627391601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12"/>
      <c r="B22" s="112"/>
      <c r="C22" s="112"/>
      <c r="D22" s="112"/>
      <c r="E22" s="112"/>
      <c r="F22" s="112"/>
      <c r="G22" s="23" t="s">
        <v>75</v>
      </c>
      <c r="H22" s="23" t="s">
        <v>73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23.232227167728446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-17.79581533091697</v>
      </c>
      <c r="Q22" s="20">
        <f>('TE BE'!$R$22+'TE BF'!$R$22+'TE CVA'!$R$22)*(1 - CUSTOS!$M$38)</f>
        <v>167.06390575775407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-1.9784808729309866</v>
      </c>
      <c r="V22" s="20">
        <f>('TE BE'!$Z$22+'TE BF'!$Z$22+'TE CVA'!$Z$22)*(1 - CUSTOS!$M$38)</f>
        <v>3.7737378339996486</v>
      </c>
      <c r="X22" s="20">
        <v>0</v>
      </c>
      <c r="Y22" s="20">
        <v>4.9049833085324002</v>
      </c>
      <c r="Z22" s="20">
        <v>0</v>
      </c>
      <c r="AA22" s="20">
        <v>0</v>
      </c>
      <c r="AB22" s="20">
        <v>0</v>
      </c>
      <c r="AC22" s="20">
        <v>230.85702627391601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12"/>
      <c r="B23" s="22" t="s">
        <v>86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79</v>
      </c>
      <c r="H23" s="23" t="s">
        <v>73</v>
      </c>
      <c r="I23" s="23">
        <f>'MERCADO TE'!$U$20</f>
        <v>5066.7939999999999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23.232227167728446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-17.79581533091697</v>
      </c>
      <c r="Q23" s="20">
        <f>('TE BE'!$R$23+'TE BF'!$R$23+'TE CVA'!$R$23)*(1 - CUSTOS!$M$38)</f>
        <v>167.06390575775407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-1.9784808729309866</v>
      </c>
      <c r="V23" s="20">
        <f>('TE BE'!$Z$23+'TE BF'!$Z$23+'TE CVA'!$Z$23)*(1 - CUSTOS!$M$38)</f>
        <v>3.7737378339996486</v>
      </c>
      <c r="X23" s="20">
        <v>0</v>
      </c>
      <c r="Y23" s="20">
        <v>4.9049833085324002</v>
      </c>
      <c r="Z23" s="20">
        <v>0</v>
      </c>
      <c r="AA23" s="20">
        <v>0</v>
      </c>
      <c r="AB23" s="20">
        <v>0</v>
      </c>
      <c r="AC23" s="20">
        <v>230.85702627391601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12"/>
      <c r="B24" s="112" t="s">
        <v>72</v>
      </c>
      <c r="C24" s="112" t="s">
        <v>41</v>
      </c>
      <c r="D24" s="112" t="s">
        <v>90</v>
      </c>
      <c r="E24" s="112" t="s">
        <v>25</v>
      </c>
      <c r="F24" s="112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23.232227167728446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-17.79581533091697</v>
      </c>
      <c r="Q24" s="20">
        <f>('TE BE'!$R$24+'TE BF'!$R$24+'TE CVA'!$R$24)*(1 - CUSTOS!$M$39)</f>
        <v>167.06390575775407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-1.9784808729309866</v>
      </c>
      <c r="V24" s="20">
        <f>('TE BE'!$Z$24+'TE BF'!$Z$24+'TE CVA'!$Z$24)*(1 - CUSTOS!$M$39)</f>
        <v>3.7737378339996486</v>
      </c>
      <c r="X24" s="20">
        <v>0</v>
      </c>
      <c r="Y24" s="20">
        <v>4.9049833085324002</v>
      </c>
      <c r="Z24" s="20">
        <v>0</v>
      </c>
      <c r="AA24" s="20">
        <v>0</v>
      </c>
      <c r="AB24" s="20">
        <v>0</v>
      </c>
      <c r="AC24" s="20">
        <v>230.85702627391601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12"/>
      <c r="B25" s="112"/>
      <c r="C25" s="112"/>
      <c r="D25" s="112"/>
      <c r="E25" s="112"/>
      <c r="F25" s="112"/>
      <c r="G25" s="23" t="s">
        <v>85</v>
      </c>
      <c r="H25" s="23" t="s">
        <v>73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23.232227167728446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-17.79581533091697</v>
      </c>
      <c r="Q25" s="20">
        <f>('TE BE'!$R$25+'TE BF'!$R$25+'TE CVA'!$R$25)*(1 - CUSTOS!$M$39)</f>
        <v>167.06390575775407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-1.9784808729309866</v>
      </c>
      <c r="V25" s="20">
        <f>('TE BE'!$Z$25+'TE BF'!$Z$25+'TE CVA'!$Z$25)*(1 - CUSTOS!$M$39)</f>
        <v>3.7737378339996486</v>
      </c>
      <c r="X25" s="20">
        <v>0</v>
      </c>
      <c r="Y25" s="20">
        <v>4.9049833085324002</v>
      </c>
      <c r="Z25" s="20">
        <v>0</v>
      </c>
      <c r="AA25" s="20">
        <v>0</v>
      </c>
      <c r="AB25" s="20">
        <v>0</v>
      </c>
      <c r="AC25" s="20">
        <v>230.85702627391601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12"/>
      <c r="B26" s="112"/>
      <c r="C26" s="112"/>
      <c r="D26" s="112"/>
      <c r="E26" s="112"/>
      <c r="F26" s="112"/>
      <c r="G26" s="23" t="s">
        <v>75</v>
      </c>
      <c r="H26" s="23" t="s">
        <v>73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23.232227167728446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-17.79581533091697</v>
      </c>
      <c r="Q26" s="20">
        <f>('TE BE'!$R$26+'TE BF'!$R$26+'TE CVA'!$R$26)*(1 - CUSTOS!$M$39)</f>
        <v>167.06390575775407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-1.9784808729309866</v>
      </c>
      <c r="V26" s="20">
        <f>('TE BE'!$Z$26+'TE BF'!$Z$26+'TE CVA'!$Z$26)*(1 - CUSTOS!$M$39)</f>
        <v>3.7737378339996486</v>
      </c>
      <c r="X26" s="20">
        <v>0</v>
      </c>
      <c r="Y26" s="20">
        <v>4.9049833085324002</v>
      </c>
      <c r="Z26" s="20">
        <v>0</v>
      </c>
      <c r="AA26" s="20">
        <v>0</v>
      </c>
      <c r="AB26" s="20">
        <v>0</v>
      </c>
      <c r="AC26" s="20">
        <v>230.85702627391601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12"/>
      <c r="B27" s="22" t="s">
        <v>86</v>
      </c>
      <c r="C27" s="22" t="s">
        <v>41</v>
      </c>
      <c r="D27" s="22" t="s">
        <v>90</v>
      </c>
      <c r="E27" s="22" t="s">
        <v>25</v>
      </c>
      <c r="F27" s="22" t="s">
        <v>25</v>
      </c>
      <c r="G27" s="23" t="s">
        <v>79</v>
      </c>
      <c r="H27" s="23" t="s">
        <v>73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23.232227167728446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-17.79581533091697</v>
      </c>
      <c r="Q27" s="20">
        <f>('TE BE'!$R$27+'TE BF'!$R$27+'TE CVA'!$R$27)*(1 - CUSTOS!$M$39)</f>
        <v>167.06390575775407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-1.9784808729309866</v>
      </c>
      <c r="V27" s="20">
        <f>('TE BE'!$Z$27+'TE BF'!$Z$27+'TE CVA'!$Z$27)*(1 - CUSTOS!$M$39)</f>
        <v>3.7737378339996486</v>
      </c>
      <c r="X27" s="20">
        <v>0</v>
      </c>
      <c r="Y27" s="20">
        <v>4.9049833085324002</v>
      </c>
      <c r="Z27" s="20">
        <v>0</v>
      </c>
      <c r="AA27" s="20">
        <v>0</v>
      </c>
      <c r="AB27" s="20">
        <v>0</v>
      </c>
      <c r="AC27" s="20">
        <v>230.85702627391601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12"/>
      <c r="B28" s="112" t="s">
        <v>72</v>
      </c>
      <c r="C28" s="112" t="s">
        <v>41</v>
      </c>
      <c r="D28" s="112" t="s">
        <v>91</v>
      </c>
      <c r="E28" s="112" t="s">
        <v>25</v>
      </c>
      <c r="F28" s="112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22.737924462032097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-17.417180962174058</v>
      </c>
      <c r="Q28" s="20">
        <f>('TE BE'!$R$28+'TE BF'!$R$28+'TE CVA'!$R$28)*(1 - CUSTOS!$M$40)</f>
        <v>163.5093545714189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-1.9363855352090509</v>
      </c>
      <c r="V28" s="20">
        <f>('TE BE'!$Z$28+'TE BF'!$Z$28+'TE CVA'!$Z$28)*(1 - CUSTOS!$M$40)</f>
        <v>3.6934455396592307</v>
      </c>
      <c r="X28" s="20">
        <v>0</v>
      </c>
      <c r="Y28" s="20">
        <v>4.6820295217809296</v>
      </c>
      <c r="Z28" s="20">
        <v>0</v>
      </c>
      <c r="AA28" s="20">
        <v>0</v>
      </c>
      <c r="AB28" s="20">
        <v>0</v>
      </c>
      <c r="AC28" s="20">
        <v>220.36352507964699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12"/>
      <c r="B29" s="112"/>
      <c r="C29" s="112"/>
      <c r="D29" s="112"/>
      <c r="E29" s="112"/>
      <c r="F29" s="112"/>
      <c r="G29" s="23" t="s">
        <v>85</v>
      </c>
      <c r="H29" s="23" t="s">
        <v>73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22.737924462032097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-17.417180962174058</v>
      </c>
      <c r="Q29" s="20">
        <f>('TE BE'!$R$29+'TE BF'!$R$29+'TE CVA'!$R$29)*(1 - CUSTOS!$M$40)</f>
        <v>163.5093545714189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-1.9363855352090509</v>
      </c>
      <c r="V29" s="20">
        <f>('TE BE'!$Z$29+'TE BF'!$Z$29+'TE CVA'!$Z$29)*(1 - CUSTOS!$M$40)</f>
        <v>3.6934455396592307</v>
      </c>
      <c r="X29" s="20">
        <v>0</v>
      </c>
      <c r="Y29" s="20">
        <v>4.6820295217809296</v>
      </c>
      <c r="Z29" s="20">
        <v>0</v>
      </c>
      <c r="AA29" s="20">
        <v>0</v>
      </c>
      <c r="AB29" s="20">
        <v>0</v>
      </c>
      <c r="AC29" s="20">
        <v>220.36352507964699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12"/>
      <c r="B30" s="112"/>
      <c r="C30" s="112"/>
      <c r="D30" s="112"/>
      <c r="E30" s="112"/>
      <c r="F30" s="112"/>
      <c r="G30" s="23" t="s">
        <v>75</v>
      </c>
      <c r="H30" s="23" t="s">
        <v>73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22.737924462032097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-17.417180962174058</v>
      </c>
      <c r="Q30" s="20">
        <f>('TE BE'!$R$30+'TE BF'!$R$30+'TE CVA'!$R$30)*(1 - CUSTOS!$M$40)</f>
        <v>163.5093545714189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-1.9363855352090509</v>
      </c>
      <c r="V30" s="20">
        <f>('TE BE'!$Z$30+'TE BF'!$Z$30+'TE CVA'!$Z$30)*(1 - CUSTOS!$M$40)</f>
        <v>3.6934455396592307</v>
      </c>
      <c r="X30" s="20">
        <v>0</v>
      </c>
      <c r="Y30" s="20">
        <v>4.6820295217809296</v>
      </c>
      <c r="Z30" s="20">
        <v>0</v>
      </c>
      <c r="AA30" s="20">
        <v>0</v>
      </c>
      <c r="AB30" s="20">
        <v>0</v>
      </c>
      <c r="AC30" s="20">
        <v>220.36352507964699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12"/>
      <c r="B31" s="22" t="s">
        <v>86</v>
      </c>
      <c r="C31" s="22" t="s">
        <v>41</v>
      </c>
      <c r="D31" s="22" t="s">
        <v>91</v>
      </c>
      <c r="E31" s="22" t="s">
        <v>25</v>
      </c>
      <c r="F31" s="22" t="s">
        <v>25</v>
      </c>
      <c r="G31" s="23" t="s">
        <v>79</v>
      </c>
      <c r="H31" s="23" t="s">
        <v>73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22.737924462032097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-17.417180962174058</v>
      </c>
      <c r="Q31" s="20">
        <f>('TE BE'!$R$31+'TE BF'!$R$31+'TE CVA'!$R$31)*(1 - CUSTOS!$M$40)</f>
        <v>163.5093545714189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-1.9363855352090509</v>
      </c>
      <c r="V31" s="20">
        <f>('TE BE'!$Z$31+'TE BF'!$Z$31+'TE CVA'!$Z$31)*(1 - CUSTOS!$M$40)</f>
        <v>3.6934455396592307</v>
      </c>
      <c r="X31" s="20">
        <v>0</v>
      </c>
      <c r="Y31" s="20">
        <v>4.6820295217809296</v>
      </c>
      <c r="Z31" s="20">
        <v>0</v>
      </c>
      <c r="AA31" s="20">
        <v>0</v>
      </c>
      <c r="AB31" s="20">
        <v>0</v>
      </c>
      <c r="AC31" s="20">
        <v>220.36352507964699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12"/>
      <c r="B32" s="112" t="s">
        <v>88</v>
      </c>
      <c r="C32" s="112" t="s">
        <v>41</v>
      </c>
      <c r="D32" s="22" t="s">
        <v>25</v>
      </c>
      <c r="E32" s="22" t="s">
        <v>25</v>
      </c>
      <c r="F32" s="22" t="s">
        <v>25</v>
      </c>
      <c r="G32" s="23" t="s">
        <v>79</v>
      </c>
      <c r="H32" s="23" t="s">
        <v>73</v>
      </c>
      <c r="I32" s="23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23.232227167728446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-17.79581533091697</v>
      </c>
      <c r="Q32" s="20">
        <f>('TE BE'!$R$32+'TE BF'!$R$32+'TE CVA'!$R$32)*(1 - CUSTOS!$M$38)</f>
        <v>167.06390575775407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-1.9784808729309866</v>
      </c>
      <c r="V32" s="20">
        <f>('TE BE'!$Z$32+'TE BF'!$Z$32+'TE CVA'!$Z$32)*(1 - CUSTOS!$M$38)</f>
        <v>3.7737378339996486</v>
      </c>
      <c r="X32" s="20">
        <v>0</v>
      </c>
      <c r="Y32" s="20">
        <v>4.9049833085324002</v>
      </c>
      <c r="Z32" s="20">
        <v>0</v>
      </c>
      <c r="AA32" s="20">
        <v>0</v>
      </c>
      <c r="AB32" s="20">
        <v>0</v>
      </c>
      <c r="AC32" s="20">
        <v>230.85702627391601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12"/>
      <c r="B33" s="112"/>
      <c r="C33" s="112"/>
      <c r="D33" s="22" t="s">
        <v>90</v>
      </c>
      <c r="E33" s="22" t="s">
        <v>25</v>
      </c>
      <c r="F33" s="22" t="s">
        <v>25</v>
      </c>
      <c r="G33" s="23" t="s">
        <v>79</v>
      </c>
      <c r="H33" s="23" t="s">
        <v>73</v>
      </c>
      <c r="I33" s="23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23.232227167728446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-17.79581533091697</v>
      </c>
      <c r="Q33" s="20">
        <f>('TE BE'!$R$33+'TE BF'!$R$33+'TE CVA'!$R$33)*(1 - CUSTOS!$M$39)</f>
        <v>167.06390575775407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-1.9784808729309866</v>
      </c>
      <c r="V33" s="20">
        <f>('TE BE'!$Z$33+'TE BF'!$Z$33+'TE CVA'!$Z$33)*(1 - CUSTOS!$M$39)</f>
        <v>3.7737378339996486</v>
      </c>
      <c r="X33" s="20">
        <v>0</v>
      </c>
      <c r="Y33" s="20">
        <v>4.9049833085324002</v>
      </c>
      <c r="Z33" s="20">
        <v>0</v>
      </c>
      <c r="AA33" s="20">
        <v>0</v>
      </c>
      <c r="AB33" s="20">
        <v>0</v>
      </c>
      <c r="AC33" s="20">
        <v>230.85702627391601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12"/>
      <c r="B34" s="112"/>
      <c r="C34" s="112"/>
      <c r="D34" s="22" t="s">
        <v>91</v>
      </c>
      <c r="E34" s="22" t="s">
        <v>25</v>
      </c>
      <c r="F34" s="22" t="s">
        <v>25</v>
      </c>
      <c r="G34" s="23" t="s">
        <v>79</v>
      </c>
      <c r="H34" s="23" t="s">
        <v>73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22.737924462032097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-17.417180962174058</v>
      </c>
      <c r="Q34" s="20">
        <f>('TE BE'!$R$34+'TE BF'!$R$34+'TE CVA'!$R$34)*(1 - CUSTOS!$M$40)</f>
        <v>163.5093545714189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-1.9363855352090509</v>
      </c>
      <c r="V34" s="20">
        <f>('TE BE'!$Z$34+'TE BF'!$Z$34+'TE CVA'!$Z$34)*(1 - CUSTOS!$M$40)</f>
        <v>3.6934455396592307</v>
      </c>
      <c r="X34" s="20">
        <v>0</v>
      </c>
      <c r="Y34" s="20">
        <v>4.6820295217809296</v>
      </c>
      <c r="Z34" s="20">
        <v>0</v>
      </c>
      <c r="AA34" s="20">
        <v>0</v>
      </c>
      <c r="AB34" s="20">
        <v>0</v>
      </c>
      <c r="AC34" s="20">
        <v>220.36352507964699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12" t="s">
        <v>33</v>
      </c>
      <c r="B35" s="112" t="s">
        <v>72</v>
      </c>
      <c r="C35" s="112" t="s">
        <v>25</v>
      </c>
      <c r="D35" s="112" t="s">
        <v>25</v>
      </c>
      <c r="E35" s="112" t="s">
        <v>25</v>
      </c>
      <c r="F35" s="112" t="s">
        <v>25</v>
      </c>
      <c r="G35" s="23" t="s">
        <v>74</v>
      </c>
      <c r="H35" s="23" t="s">
        <v>73</v>
      </c>
      <c r="I35" s="23">
        <f>'MERCADO TE'!$U$32</f>
        <v>0</v>
      </c>
      <c r="J35" s="15"/>
      <c r="L35" s="20">
        <f>('TE BE'!$L$35+'TE BF'!$L$35+'TE CVA'!$L$35)*1</f>
        <v>0</v>
      </c>
      <c r="M35" s="20">
        <f>('TE BE'!$M$35+'TE BF'!$M$35+'TE CVA'!$M$35)*1</f>
        <v>24.715135284817496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-18.931718437145715</v>
      </c>
      <c r="Q35" s="20">
        <f>('TE BE'!$R$35+'TE BF'!$R$35+'TE CVA'!$R$35)*1</f>
        <v>177.72755931675965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-2.1047668860967943</v>
      </c>
      <c r="V35" s="20">
        <f>('TE BE'!$Z$35+'TE BF'!$Z$35+'TE CVA'!$Z$35)*1</f>
        <v>4.014614717020903</v>
      </c>
      <c r="X35" s="20">
        <v>0</v>
      </c>
      <c r="Y35" s="20">
        <v>5.5738446687868199</v>
      </c>
      <c r="Z35" s="20">
        <v>0</v>
      </c>
      <c r="AA35" s="20">
        <v>0</v>
      </c>
      <c r="AB35" s="20">
        <v>0</v>
      </c>
      <c r="AC35" s="20">
        <v>262.33752985672203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12"/>
      <c r="B36" s="112"/>
      <c r="C36" s="112"/>
      <c r="D36" s="112"/>
      <c r="E36" s="112"/>
      <c r="F36" s="112"/>
      <c r="G36" s="23" t="s">
        <v>85</v>
      </c>
      <c r="H36" s="23" t="s">
        <v>73</v>
      </c>
      <c r="I36" s="23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24.715135284817496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-18.931718437145715</v>
      </c>
      <c r="Q36" s="20">
        <f>('TE BE'!$R$36+'TE BF'!$R$36+'TE CVA'!$R$36)*1</f>
        <v>177.72755931675965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-2.1047668860967943</v>
      </c>
      <c r="V36" s="20">
        <f>('TE BE'!$Z$36+'TE BF'!$Z$36+'TE CVA'!$Z$36)*1</f>
        <v>4.014614717020903</v>
      </c>
      <c r="X36" s="20">
        <v>0</v>
      </c>
      <c r="Y36" s="20">
        <v>5.5738446687868199</v>
      </c>
      <c r="Z36" s="20">
        <v>0</v>
      </c>
      <c r="AA36" s="20">
        <v>0</v>
      </c>
      <c r="AB36" s="20">
        <v>0</v>
      </c>
      <c r="AC36" s="20">
        <v>262.33752985672203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12"/>
      <c r="B37" s="112"/>
      <c r="C37" s="112"/>
      <c r="D37" s="112"/>
      <c r="E37" s="112"/>
      <c r="F37" s="112"/>
      <c r="G37" s="23" t="s">
        <v>75</v>
      </c>
      <c r="H37" s="23" t="s">
        <v>73</v>
      </c>
      <c r="I37" s="23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24.715135284817496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-18.931718437145715</v>
      </c>
      <c r="Q37" s="20">
        <f>('TE BE'!$R$37+'TE BF'!$R$37+'TE CVA'!$R$37)*1</f>
        <v>177.72755931675965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-2.1047668860967943</v>
      </c>
      <c r="V37" s="20">
        <f>('TE BE'!$Z$37+'TE BF'!$Z$37+'TE CVA'!$Z$37)*1</f>
        <v>4.014614717020903</v>
      </c>
      <c r="X37" s="20">
        <v>0</v>
      </c>
      <c r="Y37" s="20">
        <v>5.5738446687868199</v>
      </c>
      <c r="Z37" s="20">
        <v>0</v>
      </c>
      <c r="AA37" s="20">
        <v>0</v>
      </c>
      <c r="AB37" s="20">
        <v>0</v>
      </c>
      <c r="AC37" s="20">
        <v>262.33752985672203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12"/>
      <c r="B38" s="22" t="s">
        <v>86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79</v>
      </c>
      <c r="H38" s="23" t="s">
        <v>73</v>
      </c>
      <c r="I38" s="23">
        <f>'MERCADO TE'!$U$35</f>
        <v>2202.5430000000001</v>
      </c>
      <c r="J38" s="15"/>
      <c r="L38" s="20">
        <f>('TE BE'!$L$38+'TE BF'!$L$38+'TE CVA'!$L$38)*1</f>
        <v>0</v>
      </c>
      <c r="M38" s="20">
        <f>('TE BE'!$M$38+'TE BF'!$M$38+'TE CVA'!$M$38)*1</f>
        <v>24.715135284817496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-18.931718437145715</v>
      </c>
      <c r="Q38" s="20">
        <f>('TE BE'!$R$38+'TE BF'!$R$38+'TE CVA'!$R$38)*1</f>
        <v>177.72755931675965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-2.1047668860967943</v>
      </c>
      <c r="V38" s="20">
        <f>('TE BE'!$Z$38+'TE BF'!$Z$38+'TE CVA'!$Z$38)*1</f>
        <v>4.014614717020903</v>
      </c>
      <c r="X38" s="20">
        <v>0</v>
      </c>
      <c r="Y38" s="20">
        <v>5.5738446687868199</v>
      </c>
      <c r="Z38" s="20">
        <v>0</v>
      </c>
      <c r="AA38" s="20">
        <v>0</v>
      </c>
      <c r="AB38" s="20">
        <v>0</v>
      </c>
      <c r="AC38" s="20">
        <v>262.33752985672203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12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79</v>
      </c>
      <c r="H39" s="23" t="s">
        <v>73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24.715135284817496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-18.931718437145715</v>
      </c>
      <c r="Q39" s="20">
        <f>('TE BE'!$R$39+'TE BF'!$R$39+'TE CVA'!$R$39)*1</f>
        <v>177.72755931675965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-2.1047668860967943</v>
      </c>
      <c r="V39" s="20">
        <f>('TE BE'!$Z$39+'TE BF'!$Z$39+'TE CVA'!$Z$39)*1</f>
        <v>4.014614717020903</v>
      </c>
      <c r="X39" s="20">
        <v>0</v>
      </c>
      <c r="Y39" s="20">
        <v>5.5738446687868199</v>
      </c>
      <c r="Z39" s="20">
        <v>0</v>
      </c>
      <c r="AA39" s="20">
        <v>0</v>
      </c>
      <c r="AB39" s="20">
        <v>0</v>
      </c>
      <c r="AC39" s="20">
        <v>262.33752985672203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12" t="s">
        <v>43</v>
      </c>
      <c r="B40" s="112" t="s">
        <v>86</v>
      </c>
      <c r="C40" s="112" t="s">
        <v>44</v>
      </c>
      <c r="D40" s="22" t="s">
        <v>45</v>
      </c>
      <c r="E40" s="22" t="s">
        <v>25</v>
      </c>
      <c r="F40" s="22" t="s">
        <v>25</v>
      </c>
      <c r="G40" s="23" t="s">
        <v>79</v>
      </c>
      <c r="H40" s="23" t="s">
        <v>73</v>
      </c>
      <c r="I40" s="23">
        <f>'MERCADO TE'!$U$37</f>
        <v>786.13800000000003</v>
      </c>
      <c r="J40" s="15"/>
      <c r="L40" s="20">
        <f>('TE BE'!$L$40+'TE BF'!$L$40+'TE CVA'!$L$40)*1</f>
        <v>0</v>
      </c>
      <c r="M40" s="20">
        <f>('TE BE'!$M$40+'TE BF'!$M$40+'TE CVA'!$M$40)*1</f>
        <v>13.593324406649623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-10.412445140430144</v>
      </c>
      <c r="Q40" s="20">
        <f>('TE BE'!$R$40+'TE BF'!$R$40+'TE CVA'!$R$40)*1</f>
        <v>97.75015762421782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-1.1576217873532368</v>
      </c>
      <c r="V40" s="20">
        <f>('TE BE'!$Z$40+'TE BF'!$Z$40+'TE CVA'!$Z$40)*1</f>
        <v>2.2080380943614966</v>
      </c>
      <c r="X40" s="20">
        <v>0</v>
      </c>
      <c r="Y40" s="20">
        <v>3.0656145678327502</v>
      </c>
      <c r="Z40" s="20">
        <v>0</v>
      </c>
      <c r="AA40" s="20">
        <v>0</v>
      </c>
      <c r="AB40" s="20">
        <v>0</v>
      </c>
      <c r="AC40" s="20">
        <v>144.285641421197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12"/>
      <c r="B41" s="112"/>
      <c r="C41" s="112"/>
      <c r="D41" s="23" t="s">
        <v>46</v>
      </c>
      <c r="E41" s="23" t="s">
        <v>25</v>
      </c>
      <c r="F41" s="23" t="s">
        <v>25</v>
      </c>
      <c r="G41" s="23" t="s">
        <v>79</v>
      </c>
      <c r="H41" s="23" t="s">
        <v>73</v>
      </c>
      <c r="I41" s="23">
        <f>'MERCADO TE'!$U$38</f>
        <v>25.399000000000001</v>
      </c>
      <c r="J41" s="15"/>
      <c r="L41" s="20">
        <f>('TE BE'!$L$41+'TE BF'!$L$41+'TE CVA'!$L$41)*1</f>
        <v>0</v>
      </c>
      <c r="M41" s="20">
        <f>('TE BE'!$M$41+'TE BF'!$M$41+'TE CVA'!$M$41)*1</f>
        <v>14.829081170890495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-11.359031062287428</v>
      </c>
      <c r="Q41" s="20">
        <f>('TE BE'!$R$41+'TE BF'!$R$41+'TE CVA'!$R$41)*1</f>
        <v>106.6365355900558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-1.2628601316580763</v>
      </c>
      <c r="V41" s="20">
        <f>('TE BE'!$Z$41+'TE BF'!$Z$41+'TE CVA'!$Z$41)*1</f>
        <v>2.4087688302125416</v>
      </c>
      <c r="X41" s="20">
        <v>0</v>
      </c>
      <c r="Y41" s="20">
        <v>3.34430680127209</v>
      </c>
      <c r="Z41" s="20">
        <v>0</v>
      </c>
      <c r="AA41" s="20">
        <v>0</v>
      </c>
      <c r="AB41" s="20">
        <v>0</v>
      </c>
      <c r="AC41" s="20">
        <v>157.40251791403301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25">
      <c r="L43" s="109" t="s">
        <v>884</v>
      </c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X43" s="109" t="s">
        <v>885</v>
      </c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</row>
    <row r="44" spans="1:34" ht="11.25" customHeight="1" x14ac:dyDescent="0.25">
      <c r="L44" s="109" t="s">
        <v>439</v>
      </c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X44" s="109" t="s">
        <v>439</v>
      </c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</row>
    <row r="45" spans="1:34" ht="11.25" customHeight="1" x14ac:dyDescent="0.25">
      <c r="L45" s="109" t="s">
        <v>412</v>
      </c>
      <c r="M45" s="109"/>
      <c r="N45" s="109"/>
      <c r="O45" s="109"/>
      <c r="P45" s="109"/>
      <c r="Q45" s="24" t="s">
        <v>443</v>
      </c>
      <c r="R45" s="109" t="s">
        <v>421</v>
      </c>
      <c r="S45" s="109"/>
      <c r="T45" s="109"/>
      <c r="U45" s="24" t="s">
        <v>431</v>
      </c>
      <c r="V45" s="24" t="s">
        <v>434</v>
      </c>
      <c r="X45" s="109" t="s">
        <v>412</v>
      </c>
      <c r="Y45" s="109"/>
      <c r="Z45" s="109"/>
      <c r="AA45" s="109"/>
      <c r="AB45" s="109"/>
      <c r="AC45" s="24" t="s">
        <v>443</v>
      </c>
      <c r="AD45" s="109" t="s">
        <v>421</v>
      </c>
      <c r="AE45" s="109"/>
      <c r="AF45" s="109"/>
      <c r="AG45" s="24" t="s">
        <v>431</v>
      </c>
      <c r="AH45" s="24" t="s">
        <v>434</v>
      </c>
    </row>
    <row r="46" spans="1:34" ht="11.25" customHeight="1" x14ac:dyDescent="0.25">
      <c r="L46" s="24" t="s">
        <v>414</v>
      </c>
      <c r="M46" s="24" t="s">
        <v>440</v>
      </c>
      <c r="N46" s="24" t="s">
        <v>441</v>
      </c>
      <c r="O46" s="24" t="s">
        <v>500</v>
      </c>
      <c r="P46" s="24" t="s">
        <v>442</v>
      </c>
      <c r="Q46" s="24" t="s">
        <v>444</v>
      </c>
      <c r="R46" s="24" t="s">
        <v>445</v>
      </c>
      <c r="S46" s="24" t="s">
        <v>446</v>
      </c>
      <c r="T46" s="24" t="s">
        <v>447</v>
      </c>
      <c r="U46" s="24" t="s">
        <v>432</v>
      </c>
      <c r="V46" s="24" t="s">
        <v>448</v>
      </c>
      <c r="X46" s="24" t="s">
        <v>414</v>
      </c>
      <c r="Y46" s="24" t="s">
        <v>440</v>
      </c>
      <c r="Z46" s="24" t="s">
        <v>441</v>
      </c>
      <c r="AA46" s="24" t="s">
        <v>500</v>
      </c>
      <c r="AB46" s="24" t="s">
        <v>442</v>
      </c>
      <c r="AC46" s="24" t="s">
        <v>444</v>
      </c>
      <c r="AD46" s="24" t="s">
        <v>445</v>
      </c>
      <c r="AE46" s="24" t="s">
        <v>446</v>
      </c>
      <c r="AF46" s="24" t="s">
        <v>447</v>
      </c>
      <c r="AG46" s="24" t="s">
        <v>432</v>
      </c>
      <c r="AH46" s="24" t="s">
        <v>448</v>
      </c>
    </row>
    <row r="47" spans="1:34" ht="11.25" customHeight="1" x14ac:dyDescent="0.25">
      <c r="A47" s="9" t="s">
        <v>35</v>
      </c>
      <c r="B47" s="9" t="s">
        <v>886</v>
      </c>
      <c r="C47" s="9" t="s">
        <v>887</v>
      </c>
      <c r="D47" s="9" t="s">
        <v>888</v>
      </c>
      <c r="E47" s="9" t="s">
        <v>889</v>
      </c>
      <c r="F47" s="9" t="s">
        <v>890</v>
      </c>
      <c r="G47" s="9" t="s">
        <v>891</v>
      </c>
      <c r="L47" s="20">
        <f>$I$5*$L$5</f>
        <v>0</v>
      </c>
      <c r="M47" s="20">
        <f>$I$5*$M$5</f>
        <v>9820.7567265045091</v>
      </c>
      <c r="N47" s="20">
        <f>$I$5*$N$5</f>
        <v>0</v>
      </c>
      <c r="O47" s="20">
        <f>$I$5*$O$5</f>
        <v>0</v>
      </c>
      <c r="P47" s="20">
        <f>$I$5*$P$5</f>
        <v>-7522.6697747473463</v>
      </c>
      <c r="Q47" s="20">
        <f>$I$5*$Q$5</f>
        <v>70621.467514988966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-836.34596032564991</v>
      </c>
      <c r="V47" s="20">
        <f>$I$5*$V$5</f>
        <v>1595.2392747259917</v>
      </c>
      <c r="X47" s="20">
        <f>$I$5*$X$5</f>
        <v>0</v>
      </c>
      <c r="Y47" s="20">
        <f>$I$5*$Y$5</f>
        <v>2214.811769899793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104241.91618880734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25">
      <c r="A48" s="9" t="s">
        <v>35</v>
      </c>
      <c r="B48" s="9" t="s">
        <v>886</v>
      </c>
      <c r="C48" s="9" t="s">
        <v>887</v>
      </c>
      <c r="D48" s="9" t="s">
        <v>888</v>
      </c>
      <c r="E48" s="9" t="s">
        <v>889</v>
      </c>
      <c r="F48" s="9" t="s">
        <v>890</v>
      </c>
      <c r="G48" s="9" t="s">
        <v>892</v>
      </c>
      <c r="L48" s="20">
        <f>$I$6*$L$6</f>
        <v>0</v>
      </c>
      <c r="M48" s="20">
        <f>$I$6*$M$6</f>
        <v>385084.61980732443</v>
      </c>
      <c r="N48" s="20">
        <f>$I$6*$N$6</f>
        <v>0</v>
      </c>
      <c r="O48" s="20">
        <f>$I$6*$O$6</f>
        <v>0</v>
      </c>
      <c r="P48" s="20">
        <f>$I$6*$P$6</f>
        <v>-294973.64722684771</v>
      </c>
      <c r="Q48" s="20">
        <f>$I$6*$Q$6</f>
        <v>2769159.4166923645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-32794.210785223921</v>
      </c>
      <c r="V48" s="20">
        <f>$I$6*$V$6</f>
        <v>62551.402780569471</v>
      </c>
      <c r="X48" s="20">
        <f>$I$6*$X$6</f>
        <v>0</v>
      </c>
      <c r="Y48" s="20">
        <f>$I$6*$Y$6</f>
        <v>86845.644598327941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4087460.8527077865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25">
      <c r="A49" s="9" t="s">
        <v>22</v>
      </c>
      <c r="B49" s="9" t="s">
        <v>893</v>
      </c>
      <c r="C49" s="9" t="s">
        <v>894</v>
      </c>
      <c r="D49" s="9" t="s">
        <v>895</v>
      </c>
      <c r="E49" s="9" t="s">
        <v>896</v>
      </c>
      <c r="F49" s="9" t="s">
        <v>897</v>
      </c>
      <c r="G49" s="9" t="s">
        <v>898</v>
      </c>
      <c r="L49" s="20">
        <f>$I$7*$L$7</f>
        <v>0</v>
      </c>
      <c r="M49" s="20">
        <f>$I$7*$M$7</f>
        <v>0</v>
      </c>
      <c r="N49" s="20">
        <f>$I$7*$N$7</f>
        <v>0</v>
      </c>
      <c r="O49" s="20">
        <f>$I$7*$O$7</f>
        <v>0</v>
      </c>
      <c r="P49" s="20">
        <f>$I$7*$P$7</f>
        <v>0</v>
      </c>
      <c r="Q49" s="20">
        <f>$I$7*$Q$7</f>
        <v>0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0</v>
      </c>
      <c r="X49" s="20">
        <f>$I$7*$X$7</f>
        <v>0</v>
      </c>
      <c r="Y49" s="20">
        <f>$I$7*$Y$7</f>
        <v>0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0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25">
      <c r="A50" s="9" t="s">
        <v>22</v>
      </c>
      <c r="B50" s="9" t="s">
        <v>893</v>
      </c>
      <c r="C50" s="9" t="s">
        <v>894</v>
      </c>
      <c r="D50" s="9" t="s">
        <v>895</v>
      </c>
      <c r="E50" s="9" t="s">
        <v>896</v>
      </c>
      <c r="F50" s="9" t="s">
        <v>897</v>
      </c>
      <c r="G50" s="9" t="s">
        <v>899</v>
      </c>
      <c r="L50" s="20">
        <f>$I$8*$L$8</f>
        <v>0</v>
      </c>
      <c r="M50" s="20">
        <f>$I$8*$M$8</f>
        <v>0</v>
      </c>
      <c r="N50" s="20">
        <f>$I$8*$N$8</f>
        <v>0</v>
      </c>
      <c r="O50" s="20">
        <f>$I$8*$O$8</f>
        <v>0</v>
      </c>
      <c r="P50" s="20">
        <f>$I$8*$P$8</f>
        <v>0</v>
      </c>
      <c r="Q50" s="20">
        <f>$I$8*$Q$8</f>
        <v>0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0</v>
      </c>
      <c r="X50" s="20">
        <f>$I$8*$X$8</f>
        <v>0</v>
      </c>
      <c r="Y50" s="20">
        <f>$I$8*$Y$8</f>
        <v>0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0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25">
      <c r="A51" s="9" t="s">
        <v>22</v>
      </c>
      <c r="B51" s="9" t="s">
        <v>893</v>
      </c>
      <c r="C51" s="9" t="s">
        <v>894</v>
      </c>
      <c r="D51" s="9" t="s">
        <v>895</v>
      </c>
      <c r="E51" s="9" t="s">
        <v>896</v>
      </c>
      <c r="F51" s="9" t="s">
        <v>897</v>
      </c>
      <c r="G51" s="9" t="s">
        <v>900</v>
      </c>
      <c r="L51" s="20">
        <f>$I$9*$L$9</f>
        <v>0</v>
      </c>
      <c r="M51" s="20">
        <f>$I$9*$M$9</f>
        <v>0</v>
      </c>
      <c r="N51" s="20">
        <f>$I$9*$N$9</f>
        <v>0</v>
      </c>
      <c r="O51" s="20">
        <f>$I$9*$O$9</f>
        <v>0</v>
      </c>
      <c r="P51" s="20">
        <f>$I$9*$P$9</f>
        <v>0</v>
      </c>
      <c r="Q51" s="20">
        <f>$I$9*$Q$9</f>
        <v>0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0</v>
      </c>
      <c r="X51" s="20">
        <f>$I$9*$X$9</f>
        <v>0</v>
      </c>
      <c r="Y51" s="20">
        <f>$I$9*$Y$9</f>
        <v>0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0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25">
      <c r="A52" s="9" t="s">
        <v>22</v>
      </c>
      <c r="B52" s="9" t="s">
        <v>901</v>
      </c>
      <c r="C52" s="9" t="s">
        <v>902</v>
      </c>
      <c r="D52" s="9" t="s">
        <v>903</v>
      </c>
      <c r="E52" s="9" t="s">
        <v>904</v>
      </c>
      <c r="F52" s="9" t="s">
        <v>905</v>
      </c>
      <c r="G52" s="9" t="s">
        <v>906</v>
      </c>
      <c r="L52" s="20">
        <f>$I$10*$L$10</f>
        <v>0</v>
      </c>
      <c r="M52" s="20">
        <f>$I$10*$M$10</f>
        <v>169035.43579508126</v>
      </c>
      <c r="N52" s="20">
        <f>$I$10*$N$10</f>
        <v>0</v>
      </c>
      <c r="O52" s="20">
        <f>$I$10*$O$10</f>
        <v>0</v>
      </c>
      <c r="P52" s="20">
        <f>$I$10*$P$10</f>
        <v>-129480.62956137411</v>
      </c>
      <c r="Q52" s="20">
        <f>$I$10*$Q$10</f>
        <v>1215540.8050855207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-14395.235297659225</v>
      </c>
      <c r="V52" s="20">
        <f>$I$10*$V$10</f>
        <v>27457.351150242197</v>
      </c>
      <c r="X52" s="20">
        <f>$I$10*$X$10</f>
        <v>0</v>
      </c>
      <c r="Y52" s="20">
        <f>$I$10*$Y$10</f>
        <v>38121.468961622471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1794217.9224880419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25">
      <c r="A53" s="9" t="s">
        <v>22</v>
      </c>
      <c r="B53" s="9" t="s">
        <v>901</v>
      </c>
      <c r="C53" s="9" t="s">
        <v>902</v>
      </c>
      <c r="D53" s="9" t="s">
        <v>907</v>
      </c>
      <c r="E53" s="9" t="s">
        <v>908</v>
      </c>
      <c r="F53" s="9" t="s">
        <v>909</v>
      </c>
      <c r="G53" s="9" t="s">
        <v>910</v>
      </c>
      <c r="L53" s="20">
        <f>$I$11*$L$11</f>
        <v>0</v>
      </c>
      <c r="M53" s="20">
        <f>$I$11*$M$11</f>
        <v>601.80118661766369</v>
      </c>
      <c r="N53" s="20">
        <f>$I$11*$N$11</f>
        <v>0</v>
      </c>
      <c r="O53" s="20">
        <f>$I$11*$O$11</f>
        <v>0</v>
      </c>
      <c r="P53" s="20">
        <f>$I$11*$P$11</f>
        <v>-460.9778780852796</v>
      </c>
      <c r="Q53" s="20">
        <f>$I$11*$Q$11</f>
        <v>4327.5772055834395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-51.250021293013894</v>
      </c>
      <c r="V53" s="20">
        <f>$I$11*$V$11</f>
        <v>97.753861052100476</v>
      </c>
      <c r="X53" s="20">
        <f>$I$11*$X$11</f>
        <v>0</v>
      </c>
      <c r="Y53" s="20">
        <f>$I$11*$Y$11</f>
        <v>135.72033076262488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6387.7876832462598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25">
      <c r="A54" s="9" t="s">
        <v>22</v>
      </c>
      <c r="B54" s="9" t="s">
        <v>901</v>
      </c>
      <c r="C54" s="9" t="s">
        <v>902</v>
      </c>
      <c r="D54" s="9" t="s">
        <v>911</v>
      </c>
      <c r="E54" s="9" t="s">
        <v>912</v>
      </c>
      <c r="F54" s="9" t="s">
        <v>913</v>
      </c>
      <c r="G54" s="9" t="s">
        <v>914</v>
      </c>
      <c r="L54" s="20">
        <f>$I$12*$L$12</f>
        <v>0</v>
      </c>
      <c r="M54" s="20">
        <f>$I$12*$M$12</f>
        <v>2217.2442166715468</v>
      </c>
      <c r="N54" s="20">
        <f>$I$12*$N$12</f>
        <v>0</v>
      </c>
      <c r="O54" s="20">
        <f>$I$12*$O$12</f>
        <v>0</v>
      </c>
      <c r="P54" s="20">
        <f>$I$12*$P$12</f>
        <v>-1698.4023244332161</v>
      </c>
      <c r="Q54" s="20">
        <f>$I$12*$Q$12</f>
        <v>15944.29480142514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-188.82284688551559</v>
      </c>
      <c r="V54" s="20">
        <f>$I$12*$V$12</f>
        <v>360.1591154933792</v>
      </c>
      <c r="X54" s="20">
        <f>$I$12*$X$12</f>
        <v>0</v>
      </c>
      <c r="Y54" s="20">
        <f>$I$12*$Y$12</f>
        <v>500.04075292620286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23534.824478506212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25">
      <c r="A55" s="9" t="s">
        <v>22</v>
      </c>
      <c r="B55" s="9" t="s">
        <v>901</v>
      </c>
      <c r="C55" s="9" t="s">
        <v>902</v>
      </c>
      <c r="D55" s="9" t="s">
        <v>915</v>
      </c>
      <c r="E55" s="9" t="s">
        <v>916</v>
      </c>
      <c r="F55" s="9" t="s">
        <v>917</v>
      </c>
      <c r="G55" s="9" t="s">
        <v>918</v>
      </c>
      <c r="L55" s="20">
        <f>$I$13*$L$13</f>
        <v>0</v>
      </c>
      <c r="M55" s="20">
        <f>$I$13*$M$13</f>
        <v>2982.1356380066645</v>
      </c>
      <c r="N55" s="20">
        <f>$I$13*$N$13</f>
        <v>0</v>
      </c>
      <c r="O55" s="20">
        <f>$I$13*$O$13</f>
        <v>0</v>
      </c>
      <c r="P55" s="20">
        <f>$I$13*$P$13</f>
        <v>-2284.3068261415333</v>
      </c>
      <c r="Q55" s="20">
        <f>$I$13*$Q$13</f>
        <v>21444.660625428016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-253.96180390650505</v>
      </c>
      <c r="V55" s="20">
        <f>$I$13*$V$13</f>
        <v>484.40461614015732</v>
      </c>
      <c r="X55" s="20">
        <f>$I$13*$X$13</f>
        <v>0</v>
      </c>
      <c r="Y55" s="20">
        <f>$I$13*$Y$13</f>
        <v>672.5417698892187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31653.725053771061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25">
      <c r="A56" s="9" t="s">
        <v>22</v>
      </c>
      <c r="B56" s="9" t="s">
        <v>901</v>
      </c>
      <c r="C56" s="9" t="s">
        <v>902</v>
      </c>
      <c r="D56" s="9" t="s">
        <v>919</v>
      </c>
      <c r="E56" s="9" t="s">
        <v>920</v>
      </c>
      <c r="F56" s="9" t="s">
        <v>921</v>
      </c>
      <c r="G56" s="9" t="s">
        <v>922</v>
      </c>
      <c r="L56" s="20">
        <f>$I$14*$L$14</f>
        <v>0</v>
      </c>
      <c r="M56" s="20">
        <f>$I$14*$M$14</f>
        <v>905.83442332384595</v>
      </c>
      <c r="N56" s="20">
        <f>$I$14*$N$14</f>
        <v>0</v>
      </c>
      <c r="O56" s="20">
        <f>$I$14*$O$14</f>
        <v>0</v>
      </c>
      <c r="P56" s="20">
        <f>$I$14*$P$14</f>
        <v>-693.86641243982751</v>
      </c>
      <c r="Q56" s="20">
        <f>$I$14*$Q$14</f>
        <v>6513.8927765185572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-77.141811142333594</v>
      </c>
      <c r="V56" s="20">
        <f>$I$14*$V$14</f>
        <v>147.1396439935331</v>
      </c>
      <c r="X56" s="20">
        <f>$I$14*$X$14</f>
        <v>0</v>
      </c>
      <c r="Y56" s="20">
        <f>$I$14*$Y$14</f>
        <v>204.28698095570573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9614.9328067787173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25">
      <c r="A57" s="9" t="s">
        <v>22</v>
      </c>
      <c r="B57" s="9" t="s">
        <v>923</v>
      </c>
      <c r="C57" s="9" t="s">
        <v>924</v>
      </c>
      <c r="D57" s="9" t="s">
        <v>925</v>
      </c>
      <c r="E57" s="9" t="s">
        <v>926</v>
      </c>
      <c r="F57" s="9" t="s">
        <v>927</v>
      </c>
      <c r="G57" s="9" t="s">
        <v>928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25">
      <c r="A58" s="9" t="s">
        <v>22</v>
      </c>
      <c r="B58" s="9" t="s">
        <v>923</v>
      </c>
      <c r="C58" s="9" t="s">
        <v>924</v>
      </c>
      <c r="D58" s="9" t="s">
        <v>929</v>
      </c>
      <c r="E58" s="9" t="s">
        <v>930</v>
      </c>
      <c r="F58" s="9" t="s">
        <v>931</v>
      </c>
      <c r="G58" s="9" t="s">
        <v>932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25">
      <c r="A59" s="9" t="s">
        <v>22</v>
      </c>
      <c r="B59" s="9" t="s">
        <v>923</v>
      </c>
      <c r="C59" s="9" t="s">
        <v>924</v>
      </c>
      <c r="D59" s="9" t="s">
        <v>933</v>
      </c>
      <c r="E59" s="9" t="s">
        <v>934</v>
      </c>
      <c r="F59" s="9" t="s">
        <v>935</v>
      </c>
      <c r="G59" s="9" t="s">
        <v>936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25">
      <c r="A60" s="9" t="s">
        <v>22</v>
      </c>
      <c r="B60" s="9" t="s">
        <v>923</v>
      </c>
      <c r="C60" s="9" t="s">
        <v>924</v>
      </c>
      <c r="D60" s="9" t="s">
        <v>937</v>
      </c>
      <c r="E60" s="9" t="s">
        <v>938</v>
      </c>
      <c r="F60" s="9" t="s">
        <v>939</v>
      </c>
      <c r="G60" s="9" t="s">
        <v>940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25">
      <c r="A61" s="9" t="s">
        <v>22</v>
      </c>
      <c r="B61" s="9" t="s">
        <v>923</v>
      </c>
      <c r="C61" s="9" t="s">
        <v>924</v>
      </c>
      <c r="D61" s="9" t="s">
        <v>941</v>
      </c>
      <c r="E61" s="9" t="s">
        <v>942</v>
      </c>
      <c r="F61" s="9" t="s">
        <v>943</v>
      </c>
      <c r="G61" s="9" t="s">
        <v>944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25">
      <c r="A62" s="9" t="s">
        <v>40</v>
      </c>
      <c r="B62" s="9" t="s">
        <v>945</v>
      </c>
      <c r="C62" s="9" t="s">
        <v>946</v>
      </c>
      <c r="D62" s="9" t="s">
        <v>947</v>
      </c>
      <c r="E62" s="9" t="s">
        <v>948</v>
      </c>
      <c r="F62" s="9" t="s">
        <v>949</v>
      </c>
      <c r="G62" s="9" t="s">
        <v>950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25">
      <c r="A63" s="9" t="s">
        <v>40</v>
      </c>
      <c r="B63" s="9" t="s">
        <v>945</v>
      </c>
      <c r="C63" s="9" t="s">
        <v>946</v>
      </c>
      <c r="D63" s="9" t="s">
        <v>947</v>
      </c>
      <c r="E63" s="9" t="s">
        <v>948</v>
      </c>
      <c r="F63" s="9" t="s">
        <v>949</v>
      </c>
      <c r="G63" s="9" t="s">
        <v>951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25">
      <c r="A64" s="9" t="s">
        <v>40</v>
      </c>
      <c r="B64" s="9" t="s">
        <v>945</v>
      </c>
      <c r="C64" s="9" t="s">
        <v>946</v>
      </c>
      <c r="D64" s="9" t="s">
        <v>947</v>
      </c>
      <c r="E64" s="9" t="s">
        <v>948</v>
      </c>
      <c r="F64" s="9" t="s">
        <v>949</v>
      </c>
      <c r="G64" s="9" t="s">
        <v>952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25">
      <c r="A65" s="9" t="s">
        <v>40</v>
      </c>
      <c r="B65" s="9" t="s">
        <v>953</v>
      </c>
      <c r="C65" s="9" t="s">
        <v>954</v>
      </c>
      <c r="D65" s="9" t="s">
        <v>955</v>
      </c>
      <c r="E65" s="9" t="s">
        <v>956</v>
      </c>
      <c r="F65" s="9" t="s">
        <v>957</v>
      </c>
      <c r="G65" s="9" t="s">
        <v>958</v>
      </c>
      <c r="L65" s="20">
        <f>$I$23*$L$23</f>
        <v>0</v>
      </c>
      <c r="M65" s="20">
        <f>$I$23*$M$23</f>
        <v>117712.90922008349</v>
      </c>
      <c r="N65" s="20">
        <f>$I$23*$N$23</f>
        <v>0</v>
      </c>
      <c r="O65" s="20">
        <f>$I$23*$O$23</f>
        <v>0</v>
      </c>
      <c r="P65" s="20">
        <f>$I$23*$P$23</f>
        <v>-90167.730343798117</v>
      </c>
      <c r="Q65" s="20">
        <f>$I$23*$Q$23</f>
        <v>846478.39530995372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-10024.555016081486</v>
      </c>
      <c r="V65" s="20">
        <f>$I$23*$V$23</f>
        <v>19120.752214882414</v>
      </c>
      <c r="X65" s="20">
        <f>$I$23*$X$23</f>
        <v>0</v>
      </c>
      <c r="Y65" s="20">
        <f>$I$23*$Y$23</f>
        <v>24852.539997772114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1169704.99558252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25">
      <c r="A66" s="9" t="s">
        <v>40</v>
      </c>
      <c r="B66" s="9" t="s">
        <v>945</v>
      </c>
      <c r="C66" s="9" t="s">
        <v>946</v>
      </c>
      <c r="D66" s="9" t="s">
        <v>959</v>
      </c>
      <c r="E66" s="9" t="s">
        <v>960</v>
      </c>
      <c r="F66" s="9" t="s">
        <v>961</v>
      </c>
      <c r="G66" s="9" t="s">
        <v>962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25">
      <c r="A67" s="9" t="s">
        <v>40</v>
      </c>
      <c r="B67" s="9" t="s">
        <v>945</v>
      </c>
      <c r="C67" s="9" t="s">
        <v>946</v>
      </c>
      <c r="D67" s="9" t="s">
        <v>959</v>
      </c>
      <c r="E67" s="9" t="s">
        <v>960</v>
      </c>
      <c r="F67" s="9" t="s">
        <v>961</v>
      </c>
      <c r="G67" s="9" t="s">
        <v>963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25">
      <c r="A68" s="9" t="s">
        <v>40</v>
      </c>
      <c r="B68" s="9" t="s">
        <v>945</v>
      </c>
      <c r="C68" s="9" t="s">
        <v>946</v>
      </c>
      <c r="D68" s="9" t="s">
        <v>959</v>
      </c>
      <c r="E68" s="9" t="s">
        <v>960</v>
      </c>
      <c r="F68" s="9" t="s">
        <v>961</v>
      </c>
      <c r="G68" s="9" t="s">
        <v>964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25">
      <c r="A69" s="9" t="s">
        <v>40</v>
      </c>
      <c r="B69" s="9" t="s">
        <v>953</v>
      </c>
      <c r="C69" s="9" t="s">
        <v>954</v>
      </c>
      <c r="D69" s="9" t="s">
        <v>965</v>
      </c>
      <c r="E69" s="9" t="s">
        <v>966</v>
      </c>
      <c r="F69" s="9" t="s">
        <v>967</v>
      </c>
      <c r="G69" s="9" t="s">
        <v>968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25">
      <c r="A70" s="9" t="s">
        <v>40</v>
      </c>
      <c r="B70" s="9" t="s">
        <v>945</v>
      </c>
      <c r="C70" s="9" t="s">
        <v>946</v>
      </c>
      <c r="D70" s="9" t="s">
        <v>969</v>
      </c>
      <c r="E70" s="9" t="s">
        <v>970</v>
      </c>
      <c r="F70" s="9" t="s">
        <v>971</v>
      </c>
      <c r="G70" s="9" t="s">
        <v>972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25">
      <c r="A71" s="9" t="s">
        <v>40</v>
      </c>
      <c r="B71" s="9" t="s">
        <v>945</v>
      </c>
      <c r="C71" s="9" t="s">
        <v>946</v>
      </c>
      <c r="D71" s="9" t="s">
        <v>969</v>
      </c>
      <c r="E71" s="9" t="s">
        <v>970</v>
      </c>
      <c r="F71" s="9" t="s">
        <v>971</v>
      </c>
      <c r="G71" s="9" t="s">
        <v>973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25">
      <c r="A72" s="9" t="s">
        <v>40</v>
      </c>
      <c r="B72" s="9" t="s">
        <v>945</v>
      </c>
      <c r="C72" s="9" t="s">
        <v>946</v>
      </c>
      <c r="D72" s="9" t="s">
        <v>969</v>
      </c>
      <c r="E72" s="9" t="s">
        <v>970</v>
      </c>
      <c r="F72" s="9" t="s">
        <v>971</v>
      </c>
      <c r="G72" s="9" t="s">
        <v>974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25">
      <c r="A73" s="9" t="s">
        <v>40</v>
      </c>
      <c r="B73" s="9" t="s">
        <v>953</v>
      </c>
      <c r="C73" s="9" t="s">
        <v>954</v>
      </c>
      <c r="D73" s="9" t="s">
        <v>975</v>
      </c>
      <c r="E73" s="9" t="s">
        <v>976</v>
      </c>
      <c r="F73" s="9" t="s">
        <v>977</v>
      </c>
      <c r="G73" s="9" t="s">
        <v>978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25">
      <c r="A74" s="9" t="s">
        <v>40</v>
      </c>
      <c r="B74" s="9" t="s">
        <v>979</v>
      </c>
      <c r="C74" s="9" t="s">
        <v>980</v>
      </c>
      <c r="D74" s="9" t="s">
        <v>981</v>
      </c>
      <c r="E74" s="9" t="s">
        <v>982</v>
      </c>
      <c r="F74" s="9" t="s">
        <v>983</v>
      </c>
      <c r="G74" s="9" t="s">
        <v>984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25">
      <c r="A75" s="9" t="s">
        <v>40</v>
      </c>
      <c r="B75" s="9" t="s">
        <v>979</v>
      </c>
      <c r="C75" s="9" t="s">
        <v>980</v>
      </c>
      <c r="D75" s="9" t="s">
        <v>985</v>
      </c>
      <c r="E75" s="9" t="s">
        <v>986</v>
      </c>
      <c r="F75" s="9" t="s">
        <v>987</v>
      </c>
      <c r="G75" s="9" t="s">
        <v>988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25">
      <c r="A76" s="9" t="s">
        <v>40</v>
      </c>
      <c r="B76" s="9" t="s">
        <v>979</v>
      </c>
      <c r="C76" s="9" t="s">
        <v>980</v>
      </c>
      <c r="D76" s="9" t="s">
        <v>989</v>
      </c>
      <c r="E76" s="9" t="s">
        <v>990</v>
      </c>
      <c r="F76" s="9" t="s">
        <v>991</v>
      </c>
      <c r="G76" s="9" t="s">
        <v>992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25">
      <c r="A77" s="9" t="s">
        <v>33</v>
      </c>
      <c r="B77" s="9" t="s">
        <v>993</v>
      </c>
      <c r="C77" s="9" t="s">
        <v>994</v>
      </c>
      <c r="D77" s="9" t="s">
        <v>995</v>
      </c>
      <c r="E77" s="9" t="s">
        <v>996</v>
      </c>
      <c r="F77" s="9" t="s">
        <v>997</v>
      </c>
      <c r="G77" s="9" t="s">
        <v>998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0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0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25">
      <c r="A78" s="9" t="s">
        <v>33</v>
      </c>
      <c r="B78" s="9" t="s">
        <v>993</v>
      </c>
      <c r="C78" s="9" t="s">
        <v>994</v>
      </c>
      <c r="D78" s="9" t="s">
        <v>995</v>
      </c>
      <c r="E78" s="9" t="s">
        <v>996</v>
      </c>
      <c r="F78" s="9" t="s">
        <v>997</v>
      </c>
      <c r="G78" s="9" t="s">
        <v>999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0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0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25">
      <c r="A79" s="9" t="s">
        <v>33</v>
      </c>
      <c r="B79" s="9" t="s">
        <v>993</v>
      </c>
      <c r="C79" s="9" t="s">
        <v>994</v>
      </c>
      <c r="D79" s="9" t="s">
        <v>995</v>
      </c>
      <c r="E79" s="9" t="s">
        <v>996</v>
      </c>
      <c r="F79" s="9" t="s">
        <v>997</v>
      </c>
      <c r="G79" s="9" t="s">
        <v>1000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0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0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25">
      <c r="A80" s="9" t="s">
        <v>33</v>
      </c>
      <c r="B80" s="9" t="s">
        <v>1001</v>
      </c>
      <c r="C80" s="9" t="s">
        <v>1002</v>
      </c>
      <c r="D80" s="9" t="s">
        <v>1003</v>
      </c>
      <c r="E80" s="9" t="s">
        <v>1004</v>
      </c>
      <c r="F80" s="9" t="s">
        <v>1005</v>
      </c>
      <c r="G80" s="9" t="s">
        <v>1006</v>
      </c>
      <c r="L80" s="20">
        <f>$I$38*$L$38</f>
        <v>0</v>
      </c>
      <c r="M80" s="20">
        <f>$I$38*$M$38</f>
        <v>54436.148215627785</v>
      </c>
      <c r="N80" s="20">
        <f>$I$38*$N$38</f>
        <v>0</v>
      </c>
      <c r="O80" s="20">
        <f>$I$38*$O$38</f>
        <v>0</v>
      </c>
      <c r="P80" s="20">
        <f>$I$38*$P$38</f>
        <v>-41697.923921706235</v>
      </c>
      <c r="Q80" s="20">
        <f>$I$38*$Q$38</f>
        <v>391452.59168021375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-4635.8395716042915</v>
      </c>
      <c r="V80" s="20">
        <f>$I$38*$V$38</f>
        <v>8842.3615426713714</v>
      </c>
      <c r="X80" s="20">
        <f>$I$38*$X$38</f>
        <v>0</v>
      </c>
      <c r="Y80" s="20">
        <f>$I$38*$Y$38</f>
        <v>12276.63255832373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577809.69002321409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25">
      <c r="A81" s="9" t="s">
        <v>33</v>
      </c>
      <c r="B81" s="9" t="s">
        <v>1007</v>
      </c>
      <c r="C81" s="9" t="s">
        <v>1008</v>
      </c>
      <c r="D81" s="9" t="s">
        <v>1009</v>
      </c>
      <c r="E81" s="9" t="s">
        <v>1010</v>
      </c>
      <c r="F81" s="9" t="s">
        <v>1011</v>
      </c>
      <c r="G81" s="9" t="s">
        <v>1012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25">
      <c r="A82" s="9" t="s">
        <v>43</v>
      </c>
      <c r="B82" s="9" t="s">
        <v>1013</v>
      </c>
      <c r="C82" s="9" t="s">
        <v>1014</v>
      </c>
      <c r="D82" s="9" t="s">
        <v>1015</v>
      </c>
      <c r="E82" s="9" t="s">
        <v>1016</v>
      </c>
      <c r="F82" s="9" t="s">
        <v>1017</v>
      </c>
      <c r="G82" s="9" t="s">
        <v>1018</v>
      </c>
      <c r="L82" s="20">
        <f>$I$40*$L$40</f>
        <v>0</v>
      </c>
      <c r="M82" s="20">
        <f>$I$40*$M$40</f>
        <v>10686.228862394722</v>
      </c>
      <c r="N82" s="20">
        <f>$I$40*$N$40</f>
        <v>0</v>
      </c>
      <c r="O82" s="20">
        <f>$I$40*$O$40</f>
        <v>0</v>
      </c>
      <c r="P82" s="20">
        <f>$I$40*$P$40</f>
        <v>-8185.6187978074731</v>
      </c>
      <c r="Q82" s="20">
        <f>$I$40*$Q$40</f>
        <v>76845.11341438735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-910.05047666629889</v>
      </c>
      <c r="V82" s="20">
        <f>$I$40*$V$40</f>
        <v>1735.8226514251583</v>
      </c>
      <c r="X82" s="20">
        <f>$I$40*$X$40</f>
        <v>0</v>
      </c>
      <c r="Y82" s="20">
        <f>$I$40*$Y$40</f>
        <v>2409.9961051269029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113428.42557557697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25">
      <c r="A83" s="9" t="s">
        <v>43</v>
      </c>
      <c r="B83" s="9" t="s">
        <v>1013</v>
      </c>
      <c r="C83" s="9" t="s">
        <v>1014</v>
      </c>
      <c r="D83" s="9" t="s">
        <v>1019</v>
      </c>
      <c r="E83" s="9" t="s">
        <v>1020</v>
      </c>
      <c r="F83" s="9" t="s">
        <v>1021</v>
      </c>
      <c r="G83" s="9" t="s">
        <v>1022</v>
      </c>
      <c r="L83" s="20">
        <f>$I$41*$L$41</f>
        <v>0</v>
      </c>
      <c r="M83" s="20">
        <f>$I$41*$M$41</f>
        <v>376.6438326594477</v>
      </c>
      <c r="N83" s="20">
        <f>$I$41*$N$41</f>
        <v>0</v>
      </c>
      <c r="O83" s="20">
        <f>$I$41*$O$41</f>
        <v>0</v>
      </c>
      <c r="P83" s="20">
        <f>$I$41*$P$41</f>
        <v>-288.5080299510384</v>
      </c>
      <c r="Q83" s="20">
        <f>$I$41*$Q$41</f>
        <v>2708.4613674518273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-32.075384483983484</v>
      </c>
      <c r="V83" s="20">
        <f>$I$41*$V$41</f>
        <v>61.180319518568346</v>
      </c>
      <c r="X83" s="20">
        <f>$I$41*$X$41</f>
        <v>0</v>
      </c>
      <c r="Y83" s="20">
        <f>$I$41*$Y$41</f>
        <v>84.942048445509812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3997.8665524985245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C93B-802B-4752-8DD4-C3530F73AA87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1030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82</v>
      </c>
      <c r="AB2" s="14" t="s">
        <v>54</v>
      </c>
      <c r="AC2" s="14" t="s">
        <v>24</v>
      </c>
      <c r="AD2" s="14" t="s">
        <v>24</v>
      </c>
      <c r="AE2" s="14" t="s">
        <v>80</v>
      </c>
      <c r="AG2" s="14" t="s">
        <v>77</v>
      </c>
    </row>
    <row r="3" spans="1:33" x14ac:dyDescent="0.2">
      <c r="AA3" s="14" t="s">
        <v>22</v>
      </c>
      <c r="AB3" s="14" t="s">
        <v>81</v>
      </c>
      <c r="AC3" s="14" t="s">
        <v>41</v>
      </c>
      <c r="AD3" s="14" t="s">
        <v>29</v>
      </c>
      <c r="AE3" s="14" t="s">
        <v>83</v>
      </c>
      <c r="AG3" s="14" t="s">
        <v>78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84</v>
      </c>
      <c r="AG4" s="14" t="s">
        <v>79</v>
      </c>
    </row>
    <row r="5" spans="1:33" x14ac:dyDescent="0.2">
      <c r="A5" s="14" t="s">
        <v>1023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449</v>
      </c>
      <c r="AA5" s="14" t="s">
        <v>33</v>
      </c>
      <c r="AB5" s="14" t="s">
        <v>87</v>
      </c>
      <c r="AD5" s="14" t="s">
        <v>31</v>
      </c>
      <c r="AG5" s="14" t="s">
        <v>9</v>
      </c>
    </row>
    <row r="6" spans="1:33" x14ac:dyDescent="0.2">
      <c r="A6" s="14" t="s">
        <v>1024</v>
      </c>
      <c r="B6" s="39">
        <f>SUM(TUSD!$AI$57:'TUSD'!$AI$103)</f>
        <v>0</v>
      </c>
      <c r="C6" s="39">
        <f>SUM(TUSD!$AJ$57:'TUSD'!$AJ$103)</f>
        <v>22859.618590521062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1521711.5677470649</v>
      </c>
      <c r="H6" s="39">
        <f>SUM(TUSD!$AO$57:'TUSD'!$AO$103)</f>
        <v>265214.53090638336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3574867.1580007803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4579151.8893593671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371518.35305958148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10335323.1176637</v>
      </c>
      <c r="AA6" s="14" t="s">
        <v>43</v>
      </c>
      <c r="AB6" s="14" t="s">
        <v>23</v>
      </c>
      <c r="AD6" s="14" t="s">
        <v>32</v>
      </c>
      <c r="AG6" s="14" t="s">
        <v>74</v>
      </c>
    </row>
    <row r="7" spans="1:33" x14ac:dyDescent="0.2">
      <c r="A7" s="14" t="s">
        <v>1025</v>
      </c>
      <c r="B7" s="39">
        <f>SUM(TUSD!$L$57:'TUSD'!$L$103)</f>
        <v>0</v>
      </c>
      <c r="C7" s="39">
        <f>SUM(TUSD!$M$57:'TUSD'!$M$103)</f>
        <v>38174.944875685134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2991176.1773870988</v>
      </c>
      <c r="H7" s="39">
        <f>SUM(TUSD!$R$57:'TUSD'!$R$103)</f>
        <v>521794.77618580655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3583634.9425299824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5866290.2967278743</v>
      </c>
      <c r="R7" s="39">
        <f ca="1">SUM(TUSD!$AB$57:'TUSD'!$AB$103)</f>
        <v>-168080.59424004756</v>
      </c>
      <c r="S7" s="39">
        <f ca="1">SUM(TUSD!$AC$57:'TUSD'!$AC$103)</f>
        <v>0</v>
      </c>
      <c r="T7" s="39">
        <f>SUM(TUSD!$AD$57:'TUSD'!$AD$103)</f>
        <v>303088.21434995864</v>
      </c>
      <c r="U7" s="39">
        <f>SUM(TUSD!$AE$57:'TUSD'!$AE$103)</f>
        <v>6846.3406307831647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13142925.098447142</v>
      </c>
      <c r="AB7" s="14" t="s">
        <v>89</v>
      </c>
      <c r="AD7" s="14" t="s">
        <v>90</v>
      </c>
      <c r="AG7" s="14" t="s">
        <v>75</v>
      </c>
    </row>
    <row r="8" spans="1:33" x14ac:dyDescent="0.2">
      <c r="A8" s="14" t="s">
        <v>1028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8962.1785194359218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851020.67193449952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157336.79053353774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1980262.7621998929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1982942.352934727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140649.83382826118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5121174.5899503548</v>
      </c>
      <c r="AD8" s="14" t="s">
        <v>91</v>
      </c>
      <c r="AG8" s="14" t="s">
        <v>85</v>
      </c>
    </row>
    <row r="9" spans="1:33" x14ac:dyDescent="0.2">
      <c r="A9" s="14" t="s">
        <v>1029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18196.026186414849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1630923.180528563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306831.16738235636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2048957.3011143627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2796157.8518049689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-86322.683805275985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100016.11949828414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2259.4229754126845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6817018.3856850872</v>
      </c>
      <c r="AD9" s="14" t="s">
        <v>45</v>
      </c>
    </row>
    <row r="10" spans="1:33" x14ac:dyDescent="0.2">
      <c r="A10" s="14" t="s">
        <v>1026</v>
      </c>
      <c r="B10" s="39">
        <f>SUMIF(TUSD!$A$57:'TUSD'!$A$103,$A$2,TUSD!$AI$57:'TUSD'!$AI$103)</f>
        <v>0</v>
      </c>
      <c r="C10" s="39">
        <f>SUMIF(TUSD!$A$57:'TUSD'!$A$103,$A$2,TUSD!$AJ$57:'TUSD'!$AJ$103)</f>
        <v>8962.1785194359218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851020.67193449952</v>
      </c>
      <c r="H10" s="39">
        <f>SUMIF(TUSD!$A$57:'TUSD'!$A$103,$A$2,TUSD!$AO$57:'TUSD'!$AO$103)</f>
        <v>157336.79053353774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1980262.7621998929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1982942.352934727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140649.83382826118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5121174.5899503548</v>
      </c>
      <c r="AD10" s="14" t="s">
        <v>46</v>
      </c>
    </row>
    <row r="11" spans="1:33" x14ac:dyDescent="0.2">
      <c r="A11" s="14" t="s">
        <v>1027</v>
      </c>
      <c r="B11" s="39">
        <f>SUMIF(TUSD!$A$57:'TUSD'!$A$103,$A$2,TUSD!$L$57:'TUSD'!$L$103)</f>
        <v>0</v>
      </c>
      <c r="C11" s="39">
        <f>SUMIF(TUSD!$A$57:'TUSD'!$A$103,$A$2,TUSD!$M$57:'TUSD'!$M$103)</f>
        <v>18196.026186414849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1630923.180528563</v>
      </c>
      <c r="H11" s="39">
        <f>SUMIF(TUSD!$A$57:'TUSD'!$A$103,$A$2,TUSD!$R$57:'TUSD'!$R$103)</f>
        <v>306831.16738235636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2048957.3011143627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2796157.8518049689</v>
      </c>
      <c r="R11" s="39">
        <f ca="1">SUMIF(TUSD!$A$57:'TUSD'!$A$103,$A$2,TUSD!$AB$57:'TUSD'!$AB$103)</f>
        <v>-86322.683805275985</v>
      </c>
      <c r="S11" s="39">
        <f ca="1">SUMIF(TUSD!$A$57:'TUSD'!$A$103,$A$2,TUSD!$AC$57:'TUSD'!$AC$103)</f>
        <v>0</v>
      </c>
      <c r="T11" s="39">
        <f>SUMIF(TUSD!$A$57:'TUSD'!$A$103,$A$2,TUSD!$AD$57:'TUSD'!$AD$103)</f>
        <v>100016.11949828414</v>
      </c>
      <c r="U11" s="39">
        <f>SUMIF(TUSD!$A$57:'TUSD'!$A$103,$A$2,TUSD!$AE$57:'TUSD'!$AE$103)</f>
        <v>2259.4229754126845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6817018.3856850872</v>
      </c>
    </row>
    <row r="13" spans="1:33" x14ac:dyDescent="0.2">
      <c r="A13" s="14" t="s">
        <v>1031</v>
      </c>
      <c r="B13" s="57">
        <f t="shared" ref="B13:X13" si="1">IF($X$6&lt;&gt;0,(B$7-B$6)/$X$6,0)</f>
        <v>0</v>
      </c>
      <c r="C13" s="57">
        <f t="shared" si="1"/>
        <v>1.4818430068228095E-3</v>
      </c>
      <c r="D13" s="57">
        <f t="shared" ca="1" si="1"/>
        <v>0</v>
      </c>
      <c r="E13" s="57">
        <f t="shared" si="1"/>
        <v>0</v>
      </c>
      <c r="F13" s="57">
        <f t="shared" si="1"/>
        <v>0</v>
      </c>
      <c r="G13" s="57">
        <f t="shared" si="1"/>
        <v>0.14217887461385981</v>
      </c>
      <c r="H13" s="57">
        <f t="shared" si="1"/>
        <v>2.4825565912004421E-2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0</v>
      </c>
      <c r="N13" s="57">
        <f t="shared" si="1"/>
        <v>8.4833192241638494E-4</v>
      </c>
      <c r="O13" s="57">
        <f t="shared" si="1"/>
        <v>0</v>
      </c>
      <c r="P13" s="57">
        <f t="shared" si="1"/>
        <v>0</v>
      </c>
      <c r="Q13" s="57">
        <f t="shared" si="1"/>
        <v>0.1245378003875572</v>
      </c>
      <c r="R13" s="57">
        <f t="shared" ca="1" si="1"/>
        <v>-1.6262732410638185E-2</v>
      </c>
      <c r="S13" s="57">
        <f t="shared" ca="1" si="1"/>
        <v>0</v>
      </c>
      <c r="T13" s="57">
        <f t="shared" si="1"/>
        <v>-6.6209965504292305E-3</v>
      </c>
      <c r="U13" s="57">
        <f t="shared" si="1"/>
        <v>6.6242153756009329E-4</v>
      </c>
      <c r="V13" s="57">
        <f t="shared" ca="1" si="1"/>
        <v>0</v>
      </c>
      <c r="W13" s="57">
        <f t="shared" ca="1" si="1"/>
        <v>0</v>
      </c>
      <c r="X13" s="57">
        <f t="shared" ca="1" si="1"/>
        <v>0.27165110841915319</v>
      </c>
    </row>
    <row r="14" spans="1:33" x14ac:dyDescent="0.2">
      <c r="A14" s="14" t="s">
        <v>1032</v>
      </c>
      <c r="B14" s="57">
        <f t="shared" ref="B14:X14" si="2">IF($X$10&lt;&gt;0,(B$9-B$8)/$X$10,0)</f>
        <v>0</v>
      </c>
      <c r="C14" s="57">
        <f t="shared" si="2"/>
        <v>1.8030722258716122E-3</v>
      </c>
      <c r="D14" s="57">
        <f t="shared" ca="1" si="2"/>
        <v>0</v>
      </c>
      <c r="E14" s="57">
        <f t="shared" si="2"/>
        <v>0</v>
      </c>
      <c r="F14" s="57">
        <f t="shared" si="2"/>
        <v>0</v>
      </c>
      <c r="G14" s="57">
        <f t="shared" si="2"/>
        <v>0.15228977159351717</v>
      </c>
      <c r="H14" s="57">
        <f t="shared" si="2"/>
        <v>2.9191423612501332E-2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0</v>
      </c>
      <c r="N14" s="57">
        <f t="shared" si="2"/>
        <v>1.3413824838011566E-2</v>
      </c>
      <c r="O14" s="57">
        <f t="shared" si="2"/>
        <v>0</v>
      </c>
      <c r="P14" s="57">
        <f t="shared" si="2"/>
        <v>0</v>
      </c>
      <c r="Q14" s="57">
        <f t="shared" si="2"/>
        <v>0.15879472269234338</v>
      </c>
      <c r="R14" s="57">
        <f t="shared" ca="1" si="2"/>
        <v>-1.685603220297803E-2</v>
      </c>
      <c r="S14" s="57">
        <f t="shared" ca="1" si="2"/>
        <v>0</v>
      </c>
      <c r="T14" s="57">
        <f t="shared" si="2"/>
        <v>-7.9344520707642866E-3</v>
      </c>
      <c r="U14" s="57">
        <f t="shared" si="2"/>
        <v>4.4119233502534967E-4</v>
      </c>
      <c r="V14" s="57">
        <f t="shared" ca="1" si="2"/>
        <v>0</v>
      </c>
      <c r="W14" s="57">
        <f t="shared" ca="1" si="2"/>
        <v>0</v>
      </c>
      <c r="X14" s="57">
        <f t="shared" ca="1" si="2"/>
        <v>0.33114352302352812</v>
      </c>
    </row>
    <row r="15" spans="1:33" x14ac:dyDescent="0.2">
      <c r="A15" s="14" t="s">
        <v>1033</v>
      </c>
      <c r="B15" s="57">
        <f t="shared" ref="B15:X15" si="3">IF($X$8&lt;&gt;0,(B$9-B$8)/$X$8,0)</f>
        <v>0</v>
      </c>
      <c r="C15" s="57">
        <f t="shared" si="3"/>
        <v>1.8030722258716122E-3</v>
      </c>
      <c r="D15" s="57">
        <f t="shared" ca="1" si="3"/>
        <v>0</v>
      </c>
      <c r="E15" s="57">
        <f t="shared" si="3"/>
        <v>0</v>
      </c>
      <c r="F15" s="57">
        <f t="shared" si="3"/>
        <v>0</v>
      </c>
      <c r="G15" s="57">
        <f t="shared" si="3"/>
        <v>0.15228977159351717</v>
      </c>
      <c r="H15" s="57">
        <f t="shared" si="3"/>
        <v>2.9191423612501332E-2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0</v>
      </c>
      <c r="N15" s="57">
        <f t="shared" si="3"/>
        <v>1.3413824838011566E-2</v>
      </c>
      <c r="O15" s="57">
        <f t="shared" si="3"/>
        <v>0</v>
      </c>
      <c r="P15" s="57">
        <f t="shared" si="3"/>
        <v>0</v>
      </c>
      <c r="Q15" s="57">
        <f t="shared" si="3"/>
        <v>0.15879472269234338</v>
      </c>
      <c r="R15" s="57">
        <f t="shared" ca="1" si="3"/>
        <v>-1.685603220297803E-2</v>
      </c>
      <c r="S15" s="57">
        <f t="shared" ca="1" si="3"/>
        <v>0</v>
      </c>
      <c r="T15" s="57">
        <f t="shared" si="3"/>
        <v>-7.9344520707642866E-3</v>
      </c>
      <c r="U15" s="57">
        <f t="shared" si="3"/>
        <v>4.4119233502534967E-4</v>
      </c>
      <c r="V15" s="57">
        <f t="shared" ca="1" si="3"/>
        <v>0</v>
      </c>
      <c r="W15" s="57">
        <f t="shared" ca="1" si="3"/>
        <v>0</v>
      </c>
      <c r="X15" s="57">
        <f t="shared" ca="1" si="3"/>
        <v>0.33114352302352812</v>
      </c>
    </row>
  </sheetData>
  <dataValidations count="6">
    <dataValidation type="list" allowBlank="1" showInputMessage="1" showErrorMessage="1" error="Deve-se selecionar grupo válido" sqref="A2" xr:uid="{0498EEC9-5028-437C-AA7A-AEA52973AD3E}">
      <formula1>AA1:AA6</formula1>
    </dataValidation>
    <dataValidation type="list" allowBlank="1" showInputMessage="1" showErrorMessage="1" error="Deve-se selecionar grupo válido" sqref="B2" xr:uid="{2A2FD145-D5C5-4B5E-8E7B-DB1B09E0671B}">
      <formula1>AB1:AB7</formula1>
    </dataValidation>
    <dataValidation type="list" allowBlank="1" showInputMessage="1" showErrorMessage="1" error="Deve-se selecionar grupo válido" sqref="C2 E2" xr:uid="{73816283-20B7-4446-BD6D-9C1127409A93}">
      <formula1>AC1:AC4</formula1>
    </dataValidation>
    <dataValidation type="list" allowBlank="1" showInputMessage="1" showErrorMessage="1" error="Deve-se selecionar grupo válido" sqref="D2" xr:uid="{0BCF918D-1758-42E2-B591-8AF21520C7A1}">
      <formula1>AD1:AD10</formula1>
    </dataValidation>
    <dataValidation type="list" allowBlank="1" showInputMessage="1" showErrorMessage="1" error="Deve-se selecionar grupo válido" sqref="F2" xr:uid="{411EC3C6-2B05-4D45-A8DA-2C0819670A88}">
      <formula1>AF1:AF1</formula1>
    </dataValidation>
    <dataValidation type="list" allowBlank="1" showInputMessage="1" showErrorMessage="1" error="Deve-se selecionar grupo válido" sqref="G2" xr:uid="{EC150D9D-80A0-4444-8AAA-56B93AE58C51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5E35-069D-47B2-93D9-C406F9155D03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8.4257812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1030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72</v>
      </c>
      <c r="AC2" s="14" t="s">
        <v>24</v>
      </c>
      <c r="AD2" s="14" t="s">
        <v>24</v>
      </c>
      <c r="AG2" s="14" t="s">
        <v>74</v>
      </c>
    </row>
    <row r="3" spans="1:33" x14ac:dyDescent="0.2">
      <c r="AA3" s="14" t="s">
        <v>40</v>
      </c>
      <c r="AB3" s="14" t="s">
        <v>86</v>
      </c>
      <c r="AC3" s="14" t="s">
        <v>41</v>
      </c>
      <c r="AD3" s="14" t="s">
        <v>29</v>
      </c>
      <c r="AG3" s="14" t="s">
        <v>75</v>
      </c>
    </row>
    <row r="4" spans="1:33" x14ac:dyDescent="0.2">
      <c r="AA4" s="14" t="s">
        <v>33</v>
      </c>
      <c r="AB4" s="14" t="s">
        <v>88</v>
      </c>
      <c r="AC4" s="14" t="s">
        <v>44</v>
      </c>
      <c r="AD4" s="14" t="s">
        <v>30</v>
      </c>
      <c r="AG4" s="14" t="s">
        <v>85</v>
      </c>
    </row>
    <row r="5" spans="1:33" x14ac:dyDescent="0.2">
      <c r="A5" s="14" t="s">
        <v>1023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449</v>
      </c>
      <c r="AA5" s="14" t="s">
        <v>43</v>
      </c>
      <c r="AD5" s="14" t="s">
        <v>31</v>
      </c>
      <c r="AG5" s="14" t="s">
        <v>79</v>
      </c>
    </row>
    <row r="6" spans="1:33" x14ac:dyDescent="0.2">
      <c r="A6" s="14" t="s">
        <v>1024</v>
      </c>
      <c r="B6" s="39">
        <f>SUM(TE!$X$47:'TE'!$X$83)</f>
        <v>0</v>
      </c>
      <c r="C6" s="39">
        <f>SUM(TE!$Y$47:'TE'!$Y$83)</f>
        <v>168318.6258740522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7922052.9391407482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8090371.5650148001</v>
      </c>
      <c r="AD6" s="14" t="s">
        <v>32</v>
      </c>
    </row>
    <row r="7" spans="1:33" x14ac:dyDescent="0.2">
      <c r="A7" s="14" t="s">
        <v>1025</v>
      </c>
      <c r="B7" s="39">
        <f>SUM(TE!$L$47:'TE'!$L$83)</f>
        <v>0</v>
      </c>
      <c r="C7" s="39">
        <f>SUM(TE!$M$47:'TE'!$M$83)</f>
        <v>753859.75792429538</v>
      </c>
      <c r="D7" s="39">
        <f>SUM(TE!$N$47:'TE'!$N$83)</f>
        <v>0</v>
      </c>
      <c r="E7" s="39">
        <f>SUM(TE!$O$47:'TE'!$O$83)</f>
        <v>0</v>
      </c>
      <c r="F7" s="39">
        <f>SUM(TE!$P$47:'TE'!$P$83)</f>
        <v>-577454.2810973319</v>
      </c>
      <c r="G7" s="39">
        <f>SUM(TE!$Q$47:'TE'!$Q$83)</f>
        <v>5421036.6764738355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-64199.48897527223</v>
      </c>
      <c r="L7" s="39">
        <f>SUM(TE!$V$47:'TE'!$V$83)</f>
        <v>122453.56717071435</v>
      </c>
      <c r="M7" s="39">
        <f t="shared" si="0"/>
        <v>5655696.2314962409</v>
      </c>
      <c r="AD7" s="14" t="s">
        <v>90</v>
      </c>
    </row>
    <row r="8" spans="1:33" x14ac:dyDescent="0.2">
      <c r="A8" s="14" t="s">
        <v>1028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89060.456368227737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4191702.7688965937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4280763.2252648212</v>
      </c>
      <c r="AD8" s="14" t="s">
        <v>91</v>
      </c>
    </row>
    <row r="9" spans="1:33" x14ac:dyDescent="0.2">
      <c r="A9" s="14" t="s">
        <v>1029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394905.37653382897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-302496.31700159505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2839780.8842073535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-33630.556745549569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64146.642055295466</v>
      </c>
      <c r="M9" s="39">
        <f t="shared" si="0"/>
        <v>2962706.0290493332</v>
      </c>
      <c r="AD9" s="14" t="s">
        <v>45</v>
      </c>
    </row>
    <row r="10" spans="1:33" x14ac:dyDescent="0.2">
      <c r="A10" s="14" t="s">
        <v>1026</v>
      </c>
      <c r="B10" s="39">
        <f>SUMIF(TE!$A$47:'TE'!$A$83,$A$2,TE!$X$47:'TE'!$X$83)</f>
        <v>0</v>
      </c>
      <c r="C10" s="39">
        <f>SUMIF(TE!$A$47:'TE'!$A$83,$A$2,TE!$Y$47:'TE'!$Y$83)</f>
        <v>89060.456368227737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4191702.7688965937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4280763.2252648212</v>
      </c>
      <c r="AD10" s="14" t="s">
        <v>46</v>
      </c>
    </row>
    <row r="11" spans="1:33" x14ac:dyDescent="0.2">
      <c r="A11" s="14" t="s">
        <v>1027</v>
      </c>
      <c r="B11" s="39">
        <f>SUMIF(TE!$A$47:'TE'!$A$83,$A$2,TE!$L$47:'TE'!$L$83)</f>
        <v>0</v>
      </c>
      <c r="C11" s="39">
        <f>SUMIF(TE!$A$47:'TE'!$A$83,$A$2,TE!$M$47:'TE'!$M$83)</f>
        <v>394905.37653382897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-302496.31700159505</v>
      </c>
      <c r="G11" s="39">
        <f>SUMIF(TE!$A$47:'TE'!$A$83,$A$2,TE!$Q$47:'TE'!$Q$83)</f>
        <v>2839780.8842073535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-33630.556745549569</v>
      </c>
      <c r="L11" s="39">
        <f>SUMIF(TE!$A$47:'TE'!$A$83,$A$2,TE!$V$47:'TE'!$V$83)</f>
        <v>64146.642055295466</v>
      </c>
      <c r="M11" s="39">
        <f t="shared" si="0"/>
        <v>2962706.0290493332</v>
      </c>
    </row>
    <row r="13" spans="1:33" x14ac:dyDescent="0.2">
      <c r="A13" s="14" t="s">
        <v>1031</v>
      </c>
      <c r="B13" s="57">
        <f t="shared" ref="B13:M13" si="1">IF($M$6&lt;&gt;0,(B$7-B$6)/$M$6,0)</f>
        <v>0</v>
      </c>
      <c r="C13" s="57">
        <f t="shared" si="1"/>
        <v>7.2375060569813521E-2</v>
      </c>
      <c r="D13" s="57">
        <f t="shared" si="1"/>
        <v>0</v>
      </c>
      <c r="E13" s="57">
        <f t="shared" si="1"/>
        <v>0</v>
      </c>
      <c r="F13" s="57">
        <f t="shared" si="1"/>
        <v>-7.1375495730556793E-2</v>
      </c>
      <c r="G13" s="57">
        <f t="shared" si="1"/>
        <v>-0.30913490716323333</v>
      </c>
      <c r="H13" s="57">
        <f t="shared" si="1"/>
        <v>0</v>
      </c>
      <c r="I13" s="57">
        <f t="shared" si="1"/>
        <v>0</v>
      </c>
      <c r="J13" s="57">
        <f t="shared" si="1"/>
        <v>0</v>
      </c>
      <c r="K13" s="57">
        <f t="shared" si="1"/>
        <v>-7.9352954878970112E-3</v>
      </c>
      <c r="L13" s="57">
        <f t="shared" si="1"/>
        <v>1.5135716102365485E-2</v>
      </c>
      <c r="M13" s="57">
        <f t="shared" si="1"/>
        <v>-0.30093492170950809</v>
      </c>
    </row>
    <row r="14" spans="1:33" x14ac:dyDescent="0.2">
      <c r="A14" s="14" t="s">
        <v>1032</v>
      </c>
      <c r="B14" s="57">
        <f t="shared" ref="B14:M14" si="2">IF($M$10&lt;&gt;0,(B$9-B$8)/$M$10,0)</f>
        <v>0</v>
      </c>
      <c r="C14" s="57">
        <f t="shared" si="2"/>
        <v>7.1446352921488834E-2</v>
      </c>
      <c r="D14" s="57">
        <f t="shared" si="2"/>
        <v>0</v>
      </c>
      <c r="E14" s="57">
        <f t="shared" si="2"/>
        <v>0</v>
      </c>
      <c r="F14" s="57">
        <f t="shared" si="2"/>
        <v>-7.0664108497353689E-2</v>
      </c>
      <c r="G14" s="57">
        <f t="shared" si="2"/>
        <v>-0.31581328224608968</v>
      </c>
      <c r="H14" s="57">
        <f t="shared" si="2"/>
        <v>0</v>
      </c>
      <c r="I14" s="57">
        <f t="shared" si="2"/>
        <v>0</v>
      </c>
      <c r="J14" s="57">
        <f t="shared" si="2"/>
        <v>0</v>
      </c>
      <c r="K14" s="57">
        <f t="shared" si="2"/>
        <v>-7.8562057688834393E-3</v>
      </c>
      <c r="L14" s="57">
        <f t="shared" si="2"/>
        <v>1.4984861035225129E-2</v>
      </c>
      <c r="M14" s="57">
        <f t="shared" si="2"/>
        <v>-0.30790238255561281</v>
      </c>
    </row>
    <row r="15" spans="1:33" x14ac:dyDescent="0.2">
      <c r="A15" s="14" t="s">
        <v>1033</v>
      </c>
      <c r="B15" s="57">
        <f t="shared" ref="B15:M15" si="3">IF($M$8&lt;&gt;0,(B$9-B$8)/$M$8,0)</f>
        <v>0</v>
      </c>
      <c r="C15" s="57">
        <f t="shared" si="3"/>
        <v>7.1446352921488834E-2</v>
      </c>
      <c r="D15" s="57">
        <f t="shared" si="3"/>
        <v>0</v>
      </c>
      <c r="E15" s="57">
        <f t="shared" si="3"/>
        <v>0</v>
      </c>
      <c r="F15" s="57">
        <f t="shared" si="3"/>
        <v>-7.0664108497353689E-2</v>
      </c>
      <c r="G15" s="57">
        <f t="shared" si="3"/>
        <v>-0.31581328224608968</v>
      </c>
      <c r="H15" s="57">
        <f t="shared" si="3"/>
        <v>0</v>
      </c>
      <c r="I15" s="57">
        <f t="shared" si="3"/>
        <v>0</v>
      </c>
      <c r="J15" s="57">
        <f t="shared" si="3"/>
        <v>0</v>
      </c>
      <c r="K15" s="57">
        <f t="shared" si="3"/>
        <v>-7.8562057688834393E-3</v>
      </c>
      <c r="L15" s="57">
        <f t="shared" si="3"/>
        <v>1.4984861035225129E-2</v>
      </c>
      <c r="M15" s="57">
        <f t="shared" si="3"/>
        <v>-0.30790238255561281</v>
      </c>
    </row>
  </sheetData>
  <dataValidations count="4">
    <dataValidation type="list" allowBlank="1" showInputMessage="1" showErrorMessage="1" sqref="A2 G2" xr:uid="{209427E2-4CAA-4F12-8DCC-2BE360249E04}">
      <formula1>AA1:AA5</formula1>
    </dataValidation>
    <dataValidation type="list" allowBlank="1" showInputMessage="1" showErrorMessage="1" sqref="B2 C2" xr:uid="{BA49DBD9-26D9-4E37-9CE2-7E6109658418}">
      <formula1>AB1:AB4</formula1>
    </dataValidation>
    <dataValidation type="list" allowBlank="1" showInputMessage="1" showErrorMessage="1" sqref="D2" xr:uid="{A9321A64-12D3-40B0-BE21-2528E3A82594}">
      <formula1>AD1:AD10</formula1>
    </dataValidation>
    <dataValidation type="list" allowBlank="1" showInputMessage="1" showErrorMessage="1" sqref="E2 F2" xr:uid="{580FE743-536B-43B2-8985-786A7703B531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6071-F6C2-4D7E-A45C-620C72BE555E}"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1" t="s">
        <v>645</v>
      </c>
      <c r="C1" s="51" t="s">
        <v>646</v>
      </c>
      <c r="D1" s="51" t="s">
        <v>647</v>
      </c>
      <c r="E1" s="51" t="s">
        <v>2</v>
      </c>
      <c r="F1" s="51" t="s">
        <v>648</v>
      </c>
      <c r="G1" s="51" t="s">
        <v>554</v>
      </c>
      <c r="H1" s="51" t="s">
        <v>3</v>
      </c>
      <c r="I1" s="51" t="s">
        <v>649</v>
      </c>
      <c r="J1" s="51" t="s">
        <v>5</v>
      </c>
      <c r="K1" s="51" t="s">
        <v>1</v>
      </c>
      <c r="L1" s="51" t="s">
        <v>650</v>
      </c>
      <c r="M1" s="51" t="s">
        <v>651</v>
      </c>
      <c r="N1" s="51" t="s">
        <v>652</v>
      </c>
      <c r="O1" s="51" t="s">
        <v>653</v>
      </c>
      <c r="P1" s="51" t="s">
        <v>654</v>
      </c>
      <c r="Q1" s="51" t="s">
        <v>655</v>
      </c>
      <c r="R1" s="51" t="s">
        <v>656</v>
      </c>
      <c r="S1" s="51" t="s">
        <v>657</v>
      </c>
      <c r="T1" s="51" t="s">
        <v>658</v>
      </c>
      <c r="U1" s="51" t="s">
        <v>659</v>
      </c>
    </row>
    <row r="2" spans="2:21" x14ac:dyDescent="0.25">
      <c r="B2" s="50" t="s">
        <v>626</v>
      </c>
      <c r="C2" s="50">
        <v>8090</v>
      </c>
      <c r="D2" s="50">
        <v>5375</v>
      </c>
      <c r="E2" s="50" t="s">
        <v>54</v>
      </c>
      <c r="F2" s="50">
        <v>1</v>
      </c>
      <c r="G2" s="50" t="s">
        <v>627</v>
      </c>
      <c r="H2" s="50" t="s">
        <v>47</v>
      </c>
      <c r="I2" s="50" t="s">
        <v>48</v>
      </c>
      <c r="J2" s="50" t="s">
        <v>628</v>
      </c>
      <c r="K2" s="50" t="s">
        <v>35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629</v>
      </c>
      <c r="C3" s="50">
        <v>8091</v>
      </c>
      <c r="D3" s="50">
        <v>5375</v>
      </c>
      <c r="E3" s="50" t="s">
        <v>36</v>
      </c>
      <c r="F3" s="50">
        <v>1</v>
      </c>
      <c r="G3" s="50" t="s">
        <v>627</v>
      </c>
      <c r="H3" s="50" t="s">
        <v>47</v>
      </c>
      <c r="I3" s="50" t="s">
        <v>48</v>
      </c>
      <c r="J3" s="50" t="s">
        <v>628</v>
      </c>
      <c r="K3" s="50" t="s">
        <v>35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630</v>
      </c>
      <c r="C4" s="50">
        <v>8092</v>
      </c>
      <c r="D4" s="50">
        <v>5375</v>
      </c>
      <c r="E4" s="50" t="s">
        <v>631</v>
      </c>
      <c r="F4" s="50">
        <v>1</v>
      </c>
      <c r="G4" s="50" t="s">
        <v>627</v>
      </c>
      <c r="H4" s="50" t="s">
        <v>47</v>
      </c>
      <c r="I4" s="50" t="s">
        <v>48</v>
      </c>
      <c r="J4" s="50" t="s">
        <v>628</v>
      </c>
      <c r="K4" s="50" t="s">
        <v>35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632</v>
      </c>
      <c r="C5" s="50">
        <v>8093</v>
      </c>
      <c r="D5" s="50">
        <v>5375</v>
      </c>
      <c r="E5" s="50" t="s">
        <v>23</v>
      </c>
      <c r="F5" s="50">
        <v>1</v>
      </c>
      <c r="G5" s="50" t="s">
        <v>627</v>
      </c>
      <c r="H5" s="50" t="s">
        <v>47</v>
      </c>
      <c r="I5" s="50" t="s">
        <v>48</v>
      </c>
      <c r="J5" s="50" t="s">
        <v>628</v>
      </c>
      <c r="K5" s="50" t="s">
        <v>33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633</v>
      </c>
      <c r="C6" s="50">
        <v>8094</v>
      </c>
      <c r="D6" s="50">
        <v>5375</v>
      </c>
      <c r="E6" s="50" t="s">
        <v>87</v>
      </c>
      <c r="F6" s="50">
        <v>1</v>
      </c>
      <c r="G6" s="50" t="s">
        <v>627</v>
      </c>
      <c r="H6" s="50" t="s">
        <v>47</v>
      </c>
      <c r="I6" s="50" t="s">
        <v>48</v>
      </c>
      <c r="J6" s="50" t="s">
        <v>628</v>
      </c>
      <c r="K6" s="50" t="s">
        <v>33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634</v>
      </c>
      <c r="C7" s="50">
        <v>8095</v>
      </c>
      <c r="D7" s="50">
        <v>5375</v>
      </c>
      <c r="E7" s="50" t="s">
        <v>23</v>
      </c>
      <c r="F7" s="50">
        <v>1</v>
      </c>
      <c r="G7" s="50" t="s">
        <v>627</v>
      </c>
      <c r="H7" s="50" t="s">
        <v>41</v>
      </c>
      <c r="I7" s="50" t="s">
        <v>90</v>
      </c>
      <c r="J7" s="50" t="s">
        <v>628</v>
      </c>
      <c r="K7" s="50" t="s">
        <v>40</v>
      </c>
      <c r="L7" s="50">
        <v>0.3</v>
      </c>
      <c r="M7" s="50">
        <v>0.24</v>
      </c>
      <c r="N7" s="50">
        <v>0.18</v>
      </c>
      <c r="O7" s="50">
        <v>0.12</v>
      </c>
      <c r="P7" s="50">
        <v>0.06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635</v>
      </c>
      <c r="C8" s="50">
        <v>8096</v>
      </c>
      <c r="D8" s="50">
        <v>5375</v>
      </c>
      <c r="E8" s="50" t="s">
        <v>636</v>
      </c>
      <c r="F8" s="50">
        <v>1</v>
      </c>
      <c r="G8" s="50" t="s">
        <v>627</v>
      </c>
      <c r="H8" s="50" t="s">
        <v>41</v>
      </c>
      <c r="I8" s="50" t="s">
        <v>90</v>
      </c>
      <c r="J8" s="50" t="s">
        <v>628</v>
      </c>
      <c r="K8" s="50" t="s">
        <v>40</v>
      </c>
      <c r="L8" s="50">
        <v>0.3</v>
      </c>
      <c r="M8" s="50">
        <v>0.24</v>
      </c>
      <c r="N8" s="50">
        <v>0.18</v>
      </c>
      <c r="O8" s="50">
        <v>0.12</v>
      </c>
      <c r="P8" s="50">
        <v>0.06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637</v>
      </c>
      <c r="C9" s="50">
        <v>8097</v>
      </c>
      <c r="D9" s="50">
        <v>5375</v>
      </c>
      <c r="E9" s="50" t="s">
        <v>54</v>
      </c>
      <c r="F9" s="50">
        <v>1</v>
      </c>
      <c r="G9" s="50" t="s">
        <v>627</v>
      </c>
      <c r="H9" s="50" t="s">
        <v>41</v>
      </c>
      <c r="I9" s="50" t="s">
        <v>25</v>
      </c>
      <c r="J9" s="50" t="s">
        <v>638</v>
      </c>
      <c r="K9" s="50" t="s">
        <v>35</v>
      </c>
      <c r="L9" s="50">
        <v>0.1</v>
      </c>
      <c r="M9" s="50">
        <v>0.08</v>
      </c>
      <c r="N9" s="50">
        <v>0.06</v>
      </c>
      <c r="O9" s="50">
        <v>0.04</v>
      </c>
      <c r="P9" s="50">
        <v>0.02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639</v>
      </c>
      <c r="C10" s="50">
        <v>8098</v>
      </c>
      <c r="D10" s="50">
        <v>5375</v>
      </c>
      <c r="E10" s="50" t="s">
        <v>36</v>
      </c>
      <c r="F10" s="50">
        <v>1</v>
      </c>
      <c r="G10" s="50" t="s">
        <v>627</v>
      </c>
      <c r="H10" s="50" t="s">
        <v>41</v>
      </c>
      <c r="I10" s="50" t="s">
        <v>25</v>
      </c>
      <c r="J10" s="50" t="s">
        <v>638</v>
      </c>
      <c r="K10" s="50" t="s">
        <v>35</v>
      </c>
      <c r="L10" s="50">
        <v>0.1</v>
      </c>
      <c r="M10" s="50">
        <v>0.08</v>
      </c>
      <c r="N10" s="50">
        <v>0.06</v>
      </c>
      <c r="O10" s="50">
        <v>0.04</v>
      </c>
      <c r="P10" s="50">
        <v>0.02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640</v>
      </c>
      <c r="C11" s="50">
        <v>8099</v>
      </c>
      <c r="D11" s="50">
        <v>5375</v>
      </c>
      <c r="E11" s="50" t="s">
        <v>23</v>
      </c>
      <c r="F11" s="50">
        <v>1</v>
      </c>
      <c r="G11" s="50" t="s">
        <v>627</v>
      </c>
      <c r="H11" s="50" t="s">
        <v>41</v>
      </c>
      <c r="I11" s="50" t="s">
        <v>25</v>
      </c>
      <c r="J11" s="50" t="s">
        <v>638</v>
      </c>
      <c r="K11" s="50" t="s">
        <v>35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641</v>
      </c>
      <c r="C12" s="50">
        <v>8100</v>
      </c>
      <c r="D12" s="50">
        <v>5375</v>
      </c>
      <c r="E12" s="50" t="s">
        <v>23</v>
      </c>
      <c r="F12" s="50">
        <v>1</v>
      </c>
      <c r="G12" s="50" t="s">
        <v>627</v>
      </c>
      <c r="H12" s="50" t="s">
        <v>41</v>
      </c>
      <c r="I12" s="50" t="s">
        <v>25</v>
      </c>
      <c r="J12" s="50" t="s">
        <v>41</v>
      </c>
      <c r="K12" s="50" t="s">
        <v>40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642</v>
      </c>
      <c r="C13" s="50">
        <v>8101</v>
      </c>
      <c r="D13" s="50">
        <v>5375</v>
      </c>
      <c r="E13" s="50" t="s">
        <v>87</v>
      </c>
      <c r="F13" s="50">
        <v>1</v>
      </c>
      <c r="G13" s="50" t="s">
        <v>627</v>
      </c>
      <c r="H13" s="50" t="s">
        <v>41</v>
      </c>
      <c r="I13" s="50" t="s">
        <v>25</v>
      </c>
      <c r="J13" s="50" t="s">
        <v>41</v>
      </c>
      <c r="K13" s="50" t="s">
        <v>40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643</v>
      </c>
      <c r="C14" s="50">
        <v>8102</v>
      </c>
      <c r="D14" s="50">
        <v>5375</v>
      </c>
      <c r="E14" s="50" t="s">
        <v>23</v>
      </c>
      <c r="F14" s="50">
        <v>1</v>
      </c>
      <c r="G14" s="50" t="s">
        <v>627</v>
      </c>
      <c r="H14" s="50" t="s">
        <v>41</v>
      </c>
      <c r="I14" s="50" t="s">
        <v>91</v>
      </c>
      <c r="J14" s="50" t="s">
        <v>628</v>
      </c>
      <c r="K14" s="50" t="s">
        <v>40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644</v>
      </c>
      <c r="C15" s="50">
        <v>8103</v>
      </c>
      <c r="D15" s="50">
        <v>5375</v>
      </c>
      <c r="E15" s="50" t="s">
        <v>636</v>
      </c>
      <c r="F15" s="50">
        <v>1</v>
      </c>
      <c r="G15" s="50" t="s">
        <v>627</v>
      </c>
      <c r="H15" s="50" t="s">
        <v>41</v>
      </c>
      <c r="I15" s="50" t="s">
        <v>91</v>
      </c>
      <c r="J15" s="50" t="s">
        <v>628</v>
      </c>
      <c r="K15" s="50" t="s">
        <v>40</v>
      </c>
      <c r="L15" s="50">
        <v>0.4</v>
      </c>
      <c r="M15" s="50">
        <v>0.32</v>
      </c>
      <c r="N15" s="50">
        <v>0.24</v>
      </c>
      <c r="O15" s="50">
        <v>0.16</v>
      </c>
      <c r="P15" s="50">
        <v>0.08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7E16-1C2C-4369-AEEF-F06C601616D4}">
  <dimension ref="A1:L18"/>
  <sheetViews>
    <sheetView showGridLines="0" tabSelected="1" workbookViewId="0">
      <selection activeCell="C15" sqref="C15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2" t="s">
        <v>1048</v>
      </c>
      <c r="B1" s="72" t="s">
        <v>22</v>
      </c>
      <c r="C1" s="72" t="s">
        <v>1047</v>
      </c>
      <c r="D1" s="72" t="s">
        <v>1046</v>
      </c>
      <c r="E1" s="72" t="s">
        <v>33</v>
      </c>
      <c r="F1" s="72" t="s">
        <v>1045</v>
      </c>
      <c r="G1" s="72" t="s">
        <v>1044</v>
      </c>
      <c r="H1" s="72" t="s">
        <v>547</v>
      </c>
      <c r="I1" s="72" t="s">
        <v>35</v>
      </c>
      <c r="J1" s="72" t="s">
        <v>546</v>
      </c>
      <c r="K1" s="72" t="s">
        <v>545</v>
      </c>
      <c r="L1" s="72" t="s">
        <v>544</v>
      </c>
    </row>
    <row r="2" spans="1:12" x14ac:dyDescent="0.2">
      <c r="A2" s="68" t="s">
        <v>1043</v>
      </c>
      <c r="B2" s="74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426.06387563645512</v>
      </c>
      <c r="C2" s="74">
        <f t="shared" si="0"/>
        <v>400.34348419383451</v>
      </c>
      <c r="D2" s="74">
        <f t="shared" si="0"/>
        <v>391.95640002776253</v>
      </c>
      <c r="E2" s="74">
        <f t="shared" si="0"/>
        <v>426.06387563645512</v>
      </c>
      <c r="F2" s="74">
        <f t="shared" si="0"/>
        <v>234.27921770560985</v>
      </c>
      <c r="G2" s="74">
        <f t="shared" si="0"/>
        <v>255.52649759299214</v>
      </c>
      <c r="H2" s="74">
        <f t="shared" si="0"/>
        <v>0</v>
      </c>
      <c r="I2" s="74">
        <f t="shared" si="0"/>
        <v>1157.0729377582666</v>
      </c>
      <c r="J2" s="74">
        <f t="shared" si="0"/>
        <v>0</v>
      </c>
      <c r="K2" s="74">
        <f t="shared" si="0"/>
        <v>0</v>
      </c>
      <c r="L2" s="74">
        <f t="shared" si="0"/>
        <v>0</v>
      </c>
    </row>
    <row r="3" spans="1:12" ht="12" thickBot="1" x14ac:dyDescent="0.25">
      <c r="A3" s="66" t="s">
        <v>1042</v>
      </c>
      <c r="B3" s="73">
        <v>7.62</v>
      </c>
      <c r="C3" s="73">
        <v>7.16</v>
      </c>
      <c r="D3" s="73">
        <v>7.01</v>
      </c>
      <c r="E3" s="73">
        <v>7.62</v>
      </c>
      <c r="F3" s="73">
        <v>4.1900000000000004</v>
      </c>
      <c r="G3" s="73">
        <v>4.57</v>
      </c>
      <c r="H3" s="73">
        <v>0</v>
      </c>
      <c r="I3" s="73">
        <f>'TUSD BE'!$AC$6</f>
        <v>20.693835572300735</v>
      </c>
      <c r="J3" s="73">
        <v>0</v>
      </c>
      <c r="K3" s="73">
        <v>0</v>
      </c>
      <c r="L3" s="73">
        <v>0</v>
      </c>
    </row>
    <row r="5" spans="1:12" ht="12" thickBot="1" x14ac:dyDescent="0.25">
      <c r="A5" s="72" t="s">
        <v>1041</v>
      </c>
      <c r="B5" s="72" t="s">
        <v>1040</v>
      </c>
    </row>
    <row r="6" spans="1:12" x14ac:dyDescent="0.2">
      <c r="A6" s="68" t="s">
        <v>1039</v>
      </c>
      <c r="B6" s="71">
        <v>8.1942000000000001E-2</v>
      </c>
    </row>
    <row r="7" spans="1:12" x14ac:dyDescent="0.2">
      <c r="A7" s="70" t="s">
        <v>1038</v>
      </c>
      <c r="B7" s="69">
        <v>0</v>
      </c>
    </row>
    <row r="8" spans="1:12" x14ac:dyDescent="0.2">
      <c r="A8" s="68" t="s">
        <v>1037</v>
      </c>
      <c r="B8" s="67">
        <v>8187106.6300000008</v>
      </c>
    </row>
    <row r="9" spans="1:12" x14ac:dyDescent="0.2">
      <c r="A9" s="70" t="s">
        <v>1036</v>
      </c>
      <c r="B9" s="69">
        <v>0.04</v>
      </c>
    </row>
    <row r="10" spans="1:12" x14ac:dyDescent="0.2">
      <c r="A10" s="68" t="s">
        <v>1035</v>
      </c>
      <c r="B10" s="67">
        <v>4554004.99</v>
      </c>
    </row>
    <row r="11" spans="1:12" ht="12" thickBot="1" x14ac:dyDescent="0.25">
      <c r="A11" s="66" t="s">
        <v>1034</v>
      </c>
      <c r="B11" s="65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D456-A21E-4568-AF25-95E29E8667E2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1088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1" t="s">
        <v>412</v>
      </c>
      <c r="M2" s="121"/>
      <c r="N2" s="121"/>
      <c r="O2" s="121"/>
      <c r="P2" s="121"/>
      <c r="Q2" s="121"/>
      <c r="R2" s="121"/>
      <c r="S2" s="122"/>
      <c r="T2" s="121" t="s">
        <v>421</v>
      </c>
      <c r="U2" s="121"/>
      <c r="V2" s="121"/>
      <c r="W2" s="121"/>
      <c r="X2" s="121"/>
      <c r="Y2" s="121"/>
      <c r="Z2" s="122"/>
      <c r="AA2" s="85" t="s">
        <v>429</v>
      </c>
      <c r="AB2" s="121" t="s">
        <v>25</v>
      </c>
      <c r="AC2" s="121"/>
      <c r="AD2" s="122"/>
      <c r="AE2" s="121" t="s">
        <v>1087</v>
      </c>
      <c r="AF2" s="121"/>
      <c r="AG2" s="121"/>
      <c r="AH2" s="122"/>
      <c r="AI2" s="121" t="s">
        <v>412</v>
      </c>
      <c r="AJ2" s="121"/>
      <c r="AK2" s="121"/>
      <c r="AL2" s="121"/>
      <c r="AM2" s="122"/>
      <c r="AN2" s="85" t="s">
        <v>443</v>
      </c>
      <c r="AO2" s="121" t="s">
        <v>421</v>
      </c>
      <c r="AP2" s="121"/>
      <c r="AQ2" s="121"/>
      <c r="AR2" s="121"/>
      <c r="AS2" s="122"/>
      <c r="AT2" s="84" t="s">
        <v>1087</v>
      </c>
    </row>
    <row r="3" spans="2:46" ht="12" customHeight="1" x14ac:dyDescent="0.25">
      <c r="B3" s="75" t="s">
        <v>63</v>
      </c>
      <c r="C3" s="76" t="s">
        <v>64</v>
      </c>
      <c r="D3" s="76" t="s">
        <v>65</v>
      </c>
      <c r="E3" s="76" t="s">
        <v>66</v>
      </c>
      <c r="F3" s="76" t="s">
        <v>67</v>
      </c>
      <c r="G3" s="76" t="s">
        <v>69</v>
      </c>
      <c r="H3" s="76" t="s">
        <v>70</v>
      </c>
      <c r="I3" s="76" t="s">
        <v>690</v>
      </c>
      <c r="J3" s="76" t="s">
        <v>1049</v>
      </c>
      <c r="K3" s="76" t="s">
        <v>1050</v>
      </c>
      <c r="L3" s="76" t="s">
        <v>1051</v>
      </c>
      <c r="M3" s="76" t="s">
        <v>1052</v>
      </c>
      <c r="N3" s="76" t="s">
        <v>1053</v>
      </c>
      <c r="O3" s="76" t="s">
        <v>1054</v>
      </c>
      <c r="P3" s="76" t="s">
        <v>1055</v>
      </c>
      <c r="Q3" s="76" t="s">
        <v>1056</v>
      </c>
      <c r="R3" s="76" t="s">
        <v>1057</v>
      </c>
      <c r="S3" s="76" t="s">
        <v>1058</v>
      </c>
      <c r="T3" s="76" t="s">
        <v>1059</v>
      </c>
      <c r="U3" s="76" t="s">
        <v>1060</v>
      </c>
      <c r="V3" s="76" t="s">
        <v>1061</v>
      </c>
      <c r="W3" s="76" t="s">
        <v>1062</v>
      </c>
      <c r="X3" s="76" t="s">
        <v>1063</v>
      </c>
      <c r="Y3" s="76" t="s">
        <v>1064</v>
      </c>
      <c r="Z3" s="76" t="s">
        <v>1065</v>
      </c>
      <c r="AA3" s="76" t="s">
        <v>1066</v>
      </c>
      <c r="AB3" s="76" t="s">
        <v>1067</v>
      </c>
      <c r="AC3" s="76" t="s">
        <v>1068</v>
      </c>
      <c r="AD3" s="76" t="s">
        <v>1069</v>
      </c>
      <c r="AE3" s="76" t="s">
        <v>1070</v>
      </c>
      <c r="AF3" s="76" t="s">
        <v>1071</v>
      </c>
      <c r="AG3" s="76" t="s">
        <v>1072</v>
      </c>
      <c r="AH3" s="76" t="s">
        <v>1073</v>
      </c>
      <c r="AI3" s="76" t="s">
        <v>1074</v>
      </c>
      <c r="AJ3" s="76" t="s">
        <v>1075</v>
      </c>
      <c r="AK3" s="76" t="s">
        <v>1076</v>
      </c>
      <c r="AL3" s="76" t="s">
        <v>1077</v>
      </c>
      <c r="AM3" s="76" t="s">
        <v>1078</v>
      </c>
      <c r="AN3" s="76" t="s">
        <v>1079</v>
      </c>
      <c r="AO3" s="76" t="s">
        <v>1080</v>
      </c>
      <c r="AP3" s="76" t="s">
        <v>1081</v>
      </c>
      <c r="AQ3" s="76" t="s">
        <v>1082</v>
      </c>
      <c r="AR3" s="76" t="s">
        <v>1083</v>
      </c>
      <c r="AS3" s="76" t="s">
        <v>1084</v>
      </c>
      <c r="AT3" s="77" t="s">
        <v>1085</v>
      </c>
    </row>
    <row r="4" spans="2:46" ht="12" customHeight="1" x14ac:dyDescent="0.25">
      <c r="B4" s="78" t="s">
        <v>35</v>
      </c>
      <c r="C4" s="79" t="s">
        <v>54</v>
      </c>
      <c r="D4" s="79" t="s">
        <v>25</v>
      </c>
      <c r="E4" s="79" t="s">
        <v>25</v>
      </c>
      <c r="F4" s="79" t="s">
        <v>80</v>
      </c>
      <c r="G4" s="79" t="s">
        <v>37</v>
      </c>
      <c r="H4" s="79" t="s">
        <v>73</v>
      </c>
      <c r="I4" s="79" t="s">
        <v>25</v>
      </c>
      <c r="J4" s="79">
        <v>5.86</v>
      </c>
      <c r="K4" s="79">
        <v>0</v>
      </c>
      <c r="L4" s="79">
        <v>0</v>
      </c>
      <c r="M4" s="79">
        <v>0.89445246037803305</v>
      </c>
      <c r="N4" s="79">
        <v>0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X4" s="79">
        <v>0</v>
      </c>
      <c r="Y4" s="79">
        <v>0</v>
      </c>
      <c r="Z4" s="79">
        <v>0</v>
      </c>
      <c r="AA4" s="79">
        <v>0</v>
      </c>
      <c r="AB4" s="79">
        <v>-6.5720776166138903E-2</v>
      </c>
      <c r="AC4" s="79">
        <v>0</v>
      </c>
      <c r="AD4" s="79">
        <v>0</v>
      </c>
      <c r="AE4" s="79">
        <v>4.9164396251250801</v>
      </c>
      <c r="AF4" s="79">
        <v>0.111065263299158</v>
      </c>
      <c r="AG4" s="79">
        <v>0</v>
      </c>
      <c r="AH4" s="79">
        <v>0</v>
      </c>
      <c r="AI4" s="79">
        <v>0</v>
      </c>
      <c r="AJ4" s="79">
        <v>0</v>
      </c>
      <c r="AK4" s="79">
        <v>0</v>
      </c>
      <c r="AL4" s="79">
        <v>0</v>
      </c>
      <c r="AM4" s="79">
        <v>0</v>
      </c>
      <c r="AN4" s="79">
        <v>0</v>
      </c>
      <c r="AO4" s="79">
        <v>0</v>
      </c>
      <c r="AP4" s="79">
        <v>0</v>
      </c>
      <c r="AQ4" s="79">
        <v>0</v>
      </c>
      <c r="AR4" s="79">
        <v>0</v>
      </c>
      <c r="AS4" s="79">
        <v>0</v>
      </c>
      <c r="AT4" s="80">
        <v>0</v>
      </c>
    </row>
    <row r="5" spans="2:46" ht="12" customHeight="1" x14ac:dyDescent="0.25">
      <c r="B5" s="78" t="s">
        <v>35</v>
      </c>
      <c r="C5" s="79" t="s">
        <v>54</v>
      </c>
      <c r="D5" s="79" t="s">
        <v>25</v>
      </c>
      <c r="E5" s="79" t="s">
        <v>25</v>
      </c>
      <c r="F5" s="79" t="s">
        <v>80</v>
      </c>
      <c r="G5" s="79" t="s">
        <v>37</v>
      </c>
      <c r="H5" s="79" t="s">
        <v>76</v>
      </c>
      <c r="I5" s="79" t="s">
        <v>25</v>
      </c>
      <c r="J5" s="79">
        <v>87.61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  <c r="P5" s="79">
        <v>0</v>
      </c>
      <c r="Q5" s="79">
        <v>0</v>
      </c>
      <c r="R5" s="79">
        <v>0</v>
      </c>
      <c r="S5" s="79">
        <v>0</v>
      </c>
      <c r="T5" s="79">
        <v>0</v>
      </c>
      <c r="U5" s="79">
        <v>0</v>
      </c>
      <c r="V5" s="79">
        <v>0</v>
      </c>
      <c r="W5" s="79">
        <v>0</v>
      </c>
      <c r="X5" s="79">
        <v>29.337761532890401</v>
      </c>
      <c r="Y5" s="79">
        <v>0</v>
      </c>
      <c r="Z5" s="79">
        <v>0</v>
      </c>
      <c r="AA5" s="79">
        <v>59.497249019738099</v>
      </c>
      <c r="AB5" s="79">
        <v>-1.2219751514046799</v>
      </c>
      <c r="AC5" s="79">
        <v>0</v>
      </c>
      <c r="AD5" s="79">
        <v>0</v>
      </c>
      <c r="AE5" s="79">
        <v>0</v>
      </c>
      <c r="AF5" s="79">
        <v>0</v>
      </c>
      <c r="AG5" s="79">
        <v>0</v>
      </c>
      <c r="AH5" s="79">
        <v>0</v>
      </c>
      <c r="AI5" s="79">
        <v>0</v>
      </c>
      <c r="AJ5" s="79">
        <v>0</v>
      </c>
      <c r="AK5" s="79">
        <v>0</v>
      </c>
      <c r="AL5" s="79">
        <v>0</v>
      </c>
      <c r="AM5" s="79">
        <v>0</v>
      </c>
      <c r="AN5" s="79">
        <v>0</v>
      </c>
      <c r="AO5" s="79">
        <v>0</v>
      </c>
      <c r="AP5" s="79">
        <v>0</v>
      </c>
      <c r="AQ5" s="79">
        <v>0</v>
      </c>
      <c r="AR5" s="79">
        <v>0</v>
      </c>
      <c r="AS5" s="79">
        <v>0</v>
      </c>
      <c r="AT5" s="80">
        <v>0</v>
      </c>
    </row>
    <row r="6" spans="2:46" ht="12" customHeight="1" x14ac:dyDescent="0.25">
      <c r="B6" s="78" t="s">
        <v>35</v>
      </c>
      <c r="C6" s="79" t="s">
        <v>54</v>
      </c>
      <c r="D6" s="79" t="s">
        <v>25</v>
      </c>
      <c r="E6" s="79" t="s">
        <v>25</v>
      </c>
      <c r="F6" s="79" t="s">
        <v>80</v>
      </c>
      <c r="G6" s="79" t="s">
        <v>38</v>
      </c>
      <c r="H6" s="79" t="s">
        <v>73</v>
      </c>
      <c r="I6" s="79" t="s">
        <v>25</v>
      </c>
      <c r="J6" s="79">
        <v>5.86</v>
      </c>
      <c r="K6" s="79">
        <v>0</v>
      </c>
      <c r="L6" s="79">
        <v>0</v>
      </c>
      <c r="M6" s="79">
        <v>0.89445246037803305</v>
      </c>
      <c r="N6" s="79">
        <v>0</v>
      </c>
      <c r="O6" s="79">
        <v>0</v>
      </c>
      <c r="P6" s="79">
        <v>0</v>
      </c>
      <c r="Q6" s="79">
        <v>0</v>
      </c>
      <c r="R6" s="79">
        <v>0</v>
      </c>
      <c r="S6" s="79">
        <v>0</v>
      </c>
      <c r="T6" s="79">
        <v>0</v>
      </c>
      <c r="U6" s="79">
        <v>0</v>
      </c>
      <c r="V6" s="79">
        <v>0</v>
      </c>
      <c r="W6" s="79">
        <v>0</v>
      </c>
      <c r="X6" s="79">
        <v>0</v>
      </c>
      <c r="Y6" s="79">
        <v>0</v>
      </c>
      <c r="Z6" s="79">
        <v>0</v>
      </c>
      <c r="AA6" s="79">
        <v>0</v>
      </c>
      <c r="AB6" s="79">
        <v>-6.5720776166138903E-2</v>
      </c>
      <c r="AC6" s="79">
        <v>0</v>
      </c>
      <c r="AD6" s="79">
        <v>0</v>
      </c>
      <c r="AE6" s="79">
        <v>4.9164396251250801</v>
      </c>
      <c r="AF6" s="79">
        <v>0.111065263299158</v>
      </c>
      <c r="AG6" s="79">
        <v>0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0</v>
      </c>
      <c r="AN6" s="79">
        <v>0</v>
      </c>
      <c r="AO6" s="79">
        <v>0</v>
      </c>
      <c r="AP6" s="79">
        <v>0</v>
      </c>
      <c r="AQ6" s="79">
        <v>0</v>
      </c>
      <c r="AR6" s="79">
        <v>0</v>
      </c>
      <c r="AS6" s="79">
        <v>0</v>
      </c>
      <c r="AT6" s="80">
        <v>0</v>
      </c>
    </row>
    <row r="7" spans="2:46" ht="12" customHeight="1" x14ac:dyDescent="0.25">
      <c r="B7" s="78" t="s">
        <v>35</v>
      </c>
      <c r="C7" s="79" t="s">
        <v>54</v>
      </c>
      <c r="D7" s="79" t="s">
        <v>25</v>
      </c>
      <c r="E7" s="79" t="s">
        <v>25</v>
      </c>
      <c r="F7" s="79" t="s">
        <v>80</v>
      </c>
      <c r="G7" s="79" t="s">
        <v>38</v>
      </c>
      <c r="H7" s="79" t="s">
        <v>76</v>
      </c>
      <c r="I7" s="79" t="s">
        <v>25</v>
      </c>
      <c r="J7" s="79">
        <v>28.04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13.366798441838</v>
      </c>
      <c r="Y7" s="79">
        <v>0</v>
      </c>
      <c r="Z7" s="79">
        <v>0</v>
      </c>
      <c r="AA7" s="79">
        <v>15.053424925919799</v>
      </c>
      <c r="AB7" s="79">
        <v>-0.37996694024142902</v>
      </c>
      <c r="AC7" s="79">
        <v>0</v>
      </c>
      <c r="AD7" s="79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  <c r="AN7" s="79">
        <v>0</v>
      </c>
      <c r="AO7" s="79">
        <v>0</v>
      </c>
      <c r="AP7" s="79">
        <v>0</v>
      </c>
      <c r="AQ7" s="79">
        <v>0</v>
      </c>
      <c r="AR7" s="79">
        <v>0</v>
      </c>
      <c r="AS7" s="79">
        <v>0</v>
      </c>
      <c r="AT7" s="80">
        <v>0</v>
      </c>
    </row>
    <row r="8" spans="2:46" ht="12" customHeight="1" x14ac:dyDescent="0.25">
      <c r="B8" s="78" t="s">
        <v>35</v>
      </c>
      <c r="C8" s="79" t="s">
        <v>54</v>
      </c>
      <c r="D8" s="79" t="s">
        <v>25</v>
      </c>
      <c r="E8" s="79" t="s">
        <v>25</v>
      </c>
      <c r="F8" s="79" t="s">
        <v>25</v>
      </c>
      <c r="G8" s="79" t="s">
        <v>37</v>
      </c>
      <c r="H8" s="79" t="s">
        <v>73</v>
      </c>
      <c r="I8" s="79" t="s">
        <v>25</v>
      </c>
      <c r="J8" s="79">
        <v>100.15</v>
      </c>
      <c r="K8" s="79">
        <v>185.42</v>
      </c>
      <c r="L8" s="79">
        <v>0</v>
      </c>
      <c r="M8" s="79">
        <v>0.89445246037803305</v>
      </c>
      <c r="N8" s="79">
        <v>0</v>
      </c>
      <c r="O8" s="79">
        <v>0</v>
      </c>
      <c r="P8" s="79">
        <v>0</v>
      </c>
      <c r="Q8" s="79">
        <v>80.170430431698705</v>
      </c>
      <c r="R8" s="79">
        <v>15.082737833753701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-1.0279690368707901</v>
      </c>
      <c r="AC8" s="79">
        <v>0</v>
      </c>
      <c r="AD8" s="79">
        <v>0</v>
      </c>
      <c r="AE8" s="79">
        <v>4.9164396251250801</v>
      </c>
      <c r="AF8" s="79">
        <v>0.111065263299158</v>
      </c>
      <c r="AG8" s="79">
        <v>0</v>
      </c>
      <c r="AH8" s="79">
        <v>0</v>
      </c>
      <c r="AI8" s="79">
        <v>0</v>
      </c>
      <c r="AJ8" s="79">
        <v>-18.931718437145701</v>
      </c>
      <c r="AK8" s="79">
        <v>0</v>
      </c>
      <c r="AL8" s="79">
        <v>24.715135284817499</v>
      </c>
      <c r="AM8" s="79">
        <v>0</v>
      </c>
      <c r="AN8" s="79">
        <v>177.72755931675999</v>
      </c>
      <c r="AO8" s="79">
        <v>0</v>
      </c>
      <c r="AP8" s="79">
        <v>0</v>
      </c>
      <c r="AQ8" s="79">
        <v>0</v>
      </c>
      <c r="AR8" s="79">
        <v>-2.1047668860967899</v>
      </c>
      <c r="AS8" s="79">
        <v>0</v>
      </c>
      <c r="AT8" s="80">
        <v>4.0146147170209003</v>
      </c>
    </row>
    <row r="9" spans="2:46" ht="12" customHeight="1" x14ac:dyDescent="0.25">
      <c r="B9" s="78" t="s">
        <v>35</v>
      </c>
      <c r="C9" s="79" t="s">
        <v>54</v>
      </c>
      <c r="D9" s="79" t="s">
        <v>25</v>
      </c>
      <c r="E9" s="79" t="s">
        <v>25</v>
      </c>
      <c r="F9" s="79" t="s">
        <v>25</v>
      </c>
      <c r="G9" s="79" t="s">
        <v>37</v>
      </c>
      <c r="H9" s="79" t="s">
        <v>76</v>
      </c>
      <c r="I9" s="79" t="s">
        <v>25</v>
      </c>
      <c r="J9" s="79">
        <v>87.61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29.337761532890401</v>
      </c>
      <c r="Y9" s="79">
        <v>0</v>
      </c>
      <c r="Z9" s="79">
        <v>0</v>
      </c>
      <c r="AA9" s="79">
        <v>59.497249019738099</v>
      </c>
      <c r="AB9" s="79">
        <v>-1.2219751514046799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  <c r="AI9" s="79">
        <v>0</v>
      </c>
      <c r="AJ9" s="79">
        <v>0</v>
      </c>
      <c r="AK9" s="79">
        <v>0</v>
      </c>
      <c r="AL9" s="79">
        <v>0</v>
      </c>
      <c r="AM9" s="79">
        <v>0</v>
      </c>
      <c r="AN9" s="79">
        <v>0</v>
      </c>
      <c r="AO9" s="79">
        <v>0</v>
      </c>
      <c r="AP9" s="79">
        <v>0</v>
      </c>
      <c r="AQ9" s="79">
        <v>0</v>
      </c>
      <c r="AR9" s="79">
        <v>0</v>
      </c>
      <c r="AS9" s="79">
        <v>0</v>
      </c>
      <c r="AT9" s="80">
        <v>0</v>
      </c>
    </row>
    <row r="10" spans="2:46" ht="12" customHeight="1" x14ac:dyDescent="0.25">
      <c r="B10" s="78" t="s">
        <v>35</v>
      </c>
      <c r="C10" s="79" t="s">
        <v>54</v>
      </c>
      <c r="D10" s="79" t="s">
        <v>25</v>
      </c>
      <c r="E10" s="79" t="s">
        <v>25</v>
      </c>
      <c r="F10" s="79" t="s">
        <v>25</v>
      </c>
      <c r="G10" s="79" t="s">
        <v>38</v>
      </c>
      <c r="H10" s="79" t="s">
        <v>73</v>
      </c>
      <c r="I10" s="79" t="s">
        <v>25</v>
      </c>
      <c r="J10" s="79">
        <v>100.15</v>
      </c>
      <c r="K10" s="79">
        <v>185.42</v>
      </c>
      <c r="L10" s="79">
        <v>0</v>
      </c>
      <c r="M10" s="79">
        <v>0.89445246037803305</v>
      </c>
      <c r="N10" s="79">
        <v>0</v>
      </c>
      <c r="O10" s="79">
        <v>0</v>
      </c>
      <c r="P10" s="79">
        <v>0</v>
      </c>
      <c r="Q10" s="79">
        <v>80.170430431698705</v>
      </c>
      <c r="R10" s="79">
        <v>15.082737833753701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-1.0279690368707901</v>
      </c>
      <c r="AC10" s="79">
        <v>0</v>
      </c>
      <c r="AD10" s="79">
        <v>0</v>
      </c>
      <c r="AE10" s="79">
        <v>4.9164396251250801</v>
      </c>
      <c r="AF10" s="79">
        <v>0.111065263299158</v>
      </c>
      <c r="AG10" s="79">
        <v>0</v>
      </c>
      <c r="AH10" s="79">
        <v>0</v>
      </c>
      <c r="AI10" s="79">
        <v>0</v>
      </c>
      <c r="AJ10" s="79">
        <v>-18.931718437145701</v>
      </c>
      <c r="AK10" s="79">
        <v>0</v>
      </c>
      <c r="AL10" s="79">
        <v>24.715135284817499</v>
      </c>
      <c r="AM10" s="79">
        <v>0</v>
      </c>
      <c r="AN10" s="79">
        <v>177.72755931675999</v>
      </c>
      <c r="AO10" s="79">
        <v>0</v>
      </c>
      <c r="AP10" s="79">
        <v>0</v>
      </c>
      <c r="AQ10" s="79">
        <v>0</v>
      </c>
      <c r="AR10" s="79">
        <v>-2.1047668860967899</v>
      </c>
      <c r="AS10" s="79">
        <v>0</v>
      </c>
      <c r="AT10" s="80">
        <v>4.0146147170209003</v>
      </c>
    </row>
    <row r="11" spans="2:46" ht="12" customHeight="1" x14ac:dyDescent="0.25">
      <c r="B11" s="78" t="s">
        <v>35</v>
      </c>
      <c r="C11" s="79" t="s">
        <v>54</v>
      </c>
      <c r="D11" s="79" t="s">
        <v>25</v>
      </c>
      <c r="E11" s="79" t="s">
        <v>25</v>
      </c>
      <c r="F11" s="79" t="s">
        <v>25</v>
      </c>
      <c r="G11" s="79" t="s">
        <v>38</v>
      </c>
      <c r="H11" s="79" t="s">
        <v>76</v>
      </c>
      <c r="I11" s="79" t="s">
        <v>25</v>
      </c>
      <c r="J11" s="79">
        <v>28.04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  <c r="V11" s="79">
        <v>0</v>
      </c>
      <c r="W11" s="79">
        <v>0</v>
      </c>
      <c r="X11" s="79">
        <v>13.366798441838</v>
      </c>
      <c r="Y11" s="79">
        <v>0</v>
      </c>
      <c r="Z11" s="79">
        <v>0</v>
      </c>
      <c r="AA11" s="79">
        <v>15.053424925919799</v>
      </c>
      <c r="AB11" s="79">
        <v>-0.37996694024142902</v>
      </c>
      <c r="AC11" s="79">
        <v>0</v>
      </c>
      <c r="AD11" s="79">
        <v>0</v>
      </c>
      <c r="AE11" s="79">
        <v>0</v>
      </c>
      <c r="AF11" s="79">
        <v>0</v>
      </c>
      <c r="AG11" s="79">
        <v>0</v>
      </c>
      <c r="AH11" s="79">
        <v>0</v>
      </c>
      <c r="AI11" s="79">
        <v>0</v>
      </c>
      <c r="AJ11" s="79">
        <v>0</v>
      </c>
      <c r="AK11" s="79">
        <v>0</v>
      </c>
      <c r="AL11" s="79">
        <v>0</v>
      </c>
      <c r="AM11" s="79">
        <v>0</v>
      </c>
      <c r="AN11" s="79">
        <v>0</v>
      </c>
      <c r="AO11" s="79">
        <v>0</v>
      </c>
      <c r="AP11" s="79">
        <v>0</v>
      </c>
      <c r="AQ11" s="79">
        <v>0</v>
      </c>
      <c r="AR11" s="79">
        <v>0</v>
      </c>
      <c r="AS11" s="79">
        <v>0</v>
      </c>
      <c r="AT11" s="80">
        <v>0</v>
      </c>
    </row>
    <row r="12" spans="2:46" ht="12" customHeight="1" x14ac:dyDescent="0.25">
      <c r="B12" s="78" t="s">
        <v>35</v>
      </c>
      <c r="C12" s="79" t="s">
        <v>81</v>
      </c>
      <c r="D12" s="79" t="s">
        <v>25</v>
      </c>
      <c r="E12" s="79" t="s">
        <v>25</v>
      </c>
      <c r="F12" s="79" t="s">
        <v>25</v>
      </c>
      <c r="G12" s="79" t="s">
        <v>25</v>
      </c>
      <c r="H12" s="79" t="s">
        <v>76</v>
      </c>
      <c r="I12" s="79" t="s">
        <v>25</v>
      </c>
      <c r="J12" s="79">
        <v>14.05</v>
      </c>
      <c r="K12" s="79">
        <v>0</v>
      </c>
      <c r="L12" s="79">
        <v>0</v>
      </c>
      <c r="M12" s="79">
        <v>3.1690506580692397E-2</v>
      </c>
      <c r="N12" s="79">
        <v>0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  <c r="V12" s="79">
        <v>0</v>
      </c>
      <c r="W12" s="79">
        <v>0</v>
      </c>
      <c r="X12" s="79">
        <v>0</v>
      </c>
      <c r="Y12" s="79">
        <v>0</v>
      </c>
      <c r="Z12" s="79">
        <v>0</v>
      </c>
      <c r="AA12" s="79">
        <v>14.2248978922978</v>
      </c>
      <c r="AB12" s="79">
        <v>-0.20893850630195501</v>
      </c>
      <c r="AC12" s="79">
        <v>0</v>
      </c>
      <c r="AD12" s="79">
        <v>0</v>
      </c>
      <c r="AE12" s="79">
        <v>0</v>
      </c>
      <c r="AF12" s="79">
        <v>0</v>
      </c>
      <c r="AG12" s="79">
        <v>0</v>
      </c>
      <c r="AH12" s="79">
        <v>0</v>
      </c>
      <c r="AI12" s="79">
        <v>0</v>
      </c>
      <c r="AJ12" s="79">
        <v>0</v>
      </c>
      <c r="AK12" s="79">
        <v>0</v>
      </c>
      <c r="AL12" s="79">
        <v>0</v>
      </c>
      <c r="AM12" s="79">
        <v>0</v>
      </c>
      <c r="AN12" s="79">
        <v>0</v>
      </c>
      <c r="AO12" s="79">
        <v>0</v>
      </c>
      <c r="AP12" s="79">
        <v>0</v>
      </c>
      <c r="AQ12" s="79">
        <v>0</v>
      </c>
      <c r="AR12" s="79">
        <v>0</v>
      </c>
      <c r="AS12" s="79">
        <v>0</v>
      </c>
      <c r="AT12" s="80">
        <v>0</v>
      </c>
    </row>
    <row r="13" spans="2:46" ht="12" customHeight="1" x14ac:dyDescent="0.25">
      <c r="B13" s="78" t="s">
        <v>35</v>
      </c>
      <c r="C13" s="79" t="s">
        <v>36</v>
      </c>
      <c r="D13" s="79" t="s">
        <v>25</v>
      </c>
      <c r="E13" s="79" t="s">
        <v>25</v>
      </c>
      <c r="F13" s="79" t="s">
        <v>80</v>
      </c>
      <c r="G13" s="79" t="s">
        <v>37</v>
      </c>
      <c r="H13" s="79" t="s">
        <v>73</v>
      </c>
      <c r="I13" s="79" t="s">
        <v>25</v>
      </c>
      <c r="J13" s="79">
        <v>2112.88</v>
      </c>
      <c r="K13" s="79">
        <v>0</v>
      </c>
      <c r="L13" s="79">
        <v>0</v>
      </c>
      <c r="M13" s="79">
        <v>0.89445246037803305</v>
      </c>
      <c r="N13" s="79">
        <v>0</v>
      </c>
      <c r="O13" s="79">
        <v>0</v>
      </c>
      <c r="P13" s="79">
        <v>0</v>
      </c>
      <c r="Q13" s="79">
        <v>0</v>
      </c>
      <c r="R13" s="79">
        <v>0</v>
      </c>
      <c r="S13" s="79">
        <v>0</v>
      </c>
      <c r="T13" s="79">
        <v>0</v>
      </c>
      <c r="U13" s="79">
        <v>0</v>
      </c>
      <c r="V13" s="79">
        <v>0</v>
      </c>
      <c r="W13" s="79">
        <v>0</v>
      </c>
      <c r="X13" s="79">
        <v>705.50420359388397</v>
      </c>
      <c r="Y13" s="79">
        <v>0</v>
      </c>
      <c r="Z13" s="79">
        <v>0</v>
      </c>
      <c r="AA13" s="79">
        <v>1430.91017965113</v>
      </c>
      <c r="AB13" s="79">
        <v>-29.4534214898313</v>
      </c>
      <c r="AC13" s="79">
        <v>0</v>
      </c>
      <c r="AD13" s="79">
        <v>0</v>
      </c>
      <c r="AE13" s="79">
        <v>4.9164396251250801</v>
      </c>
      <c r="AF13" s="79">
        <v>0.111065263299158</v>
      </c>
      <c r="AG13" s="79">
        <v>0</v>
      </c>
      <c r="AH13" s="79">
        <v>0</v>
      </c>
      <c r="AI13" s="79">
        <v>0</v>
      </c>
      <c r="AJ13" s="79">
        <v>0</v>
      </c>
      <c r="AK13" s="79">
        <v>0</v>
      </c>
      <c r="AL13" s="79">
        <v>0</v>
      </c>
      <c r="AM13" s="79">
        <v>0</v>
      </c>
      <c r="AN13" s="79">
        <v>0</v>
      </c>
      <c r="AO13" s="79">
        <v>0</v>
      </c>
      <c r="AP13" s="79">
        <v>0</v>
      </c>
      <c r="AQ13" s="79">
        <v>0</v>
      </c>
      <c r="AR13" s="79">
        <v>0</v>
      </c>
      <c r="AS13" s="79">
        <v>0</v>
      </c>
      <c r="AT13" s="80">
        <v>0</v>
      </c>
    </row>
    <row r="14" spans="2:46" ht="12" customHeight="1" x14ac:dyDescent="0.25">
      <c r="B14" s="78" t="s">
        <v>35</v>
      </c>
      <c r="C14" s="79" t="s">
        <v>36</v>
      </c>
      <c r="D14" s="79" t="s">
        <v>25</v>
      </c>
      <c r="E14" s="79" t="s">
        <v>25</v>
      </c>
      <c r="F14" s="79" t="s">
        <v>80</v>
      </c>
      <c r="G14" s="79" t="s">
        <v>25</v>
      </c>
      <c r="H14" s="79" t="s">
        <v>76</v>
      </c>
      <c r="I14" s="79" t="s">
        <v>25</v>
      </c>
      <c r="J14" s="79">
        <v>28.04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0</v>
      </c>
      <c r="V14" s="79">
        <v>0</v>
      </c>
      <c r="W14" s="79">
        <v>0</v>
      </c>
      <c r="X14" s="79">
        <v>13.366798441838</v>
      </c>
      <c r="Y14" s="79">
        <v>0</v>
      </c>
      <c r="Z14" s="79">
        <v>0</v>
      </c>
      <c r="AA14" s="79">
        <v>15.053424925919799</v>
      </c>
      <c r="AB14" s="79">
        <v>-0.37996694024142902</v>
      </c>
      <c r="AC14" s="79">
        <v>0</v>
      </c>
      <c r="AD14" s="79">
        <v>0</v>
      </c>
      <c r="AE14" s="79">
        <v>0</v>
      </c>
      <c r="AF14" s="79">
        <v>0</v>
      </c>
      <c r="AG14" s="79">
        <v>0</v>
      </c>
      <c r="AH14" s="79">
        <v>0</v>
      </c>
      <c r="AI14" s="79">
        <v>0</v>
      </c>
      <c r="AJ14" s="79">
        <v>0</v>
      </c>
      <c r="AK14" s="79">
        <v>0</v>
      </c>
      <c r="AL14" s="79">
        <v>0</v>
      </c>
      <c r="AM14" s="79">
        <v>0</v>
      </c>
      <c r="AN14" s="79">
        <v>0</v>
      </c>
      <c r="AO14" s="79">
        <v>0</v>
      </c>
      <c r="AP14" s="79">
        <v>0</v>
      </c>
      <c r="AQ14" s="79">
        <v>0</v>
      </c>
      <c r="AR14" s="79">
        <v>0</v>
      </c>
      <c r="AS14" s="79">
        <v>0</v>
      </c>
      <c r="AT14" s="80">
        <v>0</v>
      </c>
    </row>
    <row r="15" spans="2:46" ht="12" customHeight="1" x14ac:dyDescent="0.25">
      <c r="B15" s="78" t="s">
        <v>35</v>
      </c>
      <c r="C15" s="79" t="s">
        <v>36</v>
      </c>
      <c r="D15" s="79" t="s">
        <v>25</v>
      </c>
      <c r="E15" s="79" t="s">
        <v>25</v>
      </c>
      <c r="F15" s="79" t="s">
        <v>80</v>
      </c>
      <c r="G15" s="79" t="s">
        <v>38</v>
      </c>
      <c r="H15" s="79" t="s">
        <v>73</v>
      </c>
      <c r="I15" s="79" t="s">
        <v>25</v>
      </c>
      <c r="J15" s="79">
        <v>5.86</v>
      </c>
      <c r="K15" s="79">
        <v>0</v>
      </c>
      <c r="L15" s="79">
        <v>0</v>
      </c>
      <c r="M15" s="79">
        <v>0.89445246037803305</v>
      </c>
      <c r="N15" s="79">
        <v>0</v>
      </c>
      <c r="O15" s="79">
        <v>0</v>
      </c>
      <c r="P15" s="79">
        <v>0</v>
      </c>
      <c r="Q15" s="79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79">
        <v>0</v>
      </c>
      <c r="AB15" s="79">
        <v>-6.5720776166138903E-2</v>
      </c>
      <c r="AC15" s="79">
        <v>0</v>
      </c>
      <c r="AD15" s="79">
        <v>0</v>
      </c>
      <c r="AE15" s="79">
        <v>4.9164396251250801</v>
      </c>
      <c r="AF15" s="79">
        <v>0.111065263299158</v>
      </c>
      <c r="AG15" s="79">
        <v>0</v>
      </c>
      <c r="AH15" s="79">
        <v>0</v>
      </c>
      <c r="AI15" s="79">
        <v>0</v>
      </c>
      <c r="AJ15" s="79">
        <v>0</v>
      </c>
      <c r="AK15" s="79">
        <v>0</v>
      </c>
      <c r="AL15" s="79">
        <v>0</v>
      </c>
      <c r="AM15" s="79">
        <v>0</v>
      </c>
      <c r="AN15" s="79">
        <v>0</v>
      </c>
      <c r="AO15" s="79">
        <v>0</v>
      </c>
      <c r="AP15" s="79">
        <v>0</v>
      </c>
      <c r="AQ15" s="79">
        <v>0</v>
      </c>
      <c r="AR15" s="79">
        <v>0</v>
      </c>
      <c r="AS15" s="79">
        <v>0</v>
      </c>
      <c r="AT15" s="80">
        <v>0</v>
      </c>
    </row>
    <row r="16" spans="2:46" ht="12" customHeight="1" x14ac:dyDescent="0.25">
      <c r="B16" s="78" t="s">
        <v>35</v>
      </c>
      <c r="C16" s="79" t="s">
        <v>36</v>
      </c>
      <c r="D16" s="79" t="s">
        <v>25</v>
      </c>
      <c r="E16" s="79" t="s">
        <v>25</v>
      </c>
      <c r="F16" s="79" t="s">
        <v>25</v>
      </c>
      <c r="G16" s="79" t="s">
        <v>37</v>
      </c>
      <c r="H16" s="79" t="s">
        <v>73</v>
      </c>
      <c r="I16" s="79" t="s">
        <v>25</v>
      </c>
      <c r="J16" s="79">
        <v>2207.17</v>
      </c>
      <c r="K16" s="79">
        <v>185.42</v>
      </c>
      <c r="L16" s="79">
        <v>0</v>
      </c>
      <c r="M16" s="79">
        <v>0.89445246037803305</v>
      </c>
      <c r="N16" s="79">
        <v>0</v>
      </c>
      <c r="O16" s="79">
        <v>0</v>
      </c>
      <c r="P16" s="79">
        <v>0</v>
      </c>
      <c r="Q16" s="79">
        <v>80.170430431698705</v>
      </c>
      <c r="R16" s="79">
        <v>15.082737833753701</v>
      </c>
      <c r="S16" s="79">
        <v>0</v>
      </c>
      <c r="T16" s="79">
        <v>0</v>
      </c>
      <c r="U16" s="79">
        <v>0</v>
      </c>
      <c r="V16" s="79">
        <v>0</v>
      </c>
      <c r="W16" s="79">
        <v>0</v>
      </c>
      <c r="X16" s="79">
        <v>705.50420359388397</v>
      </c>
      <c r="Y16" s="79">
        <v>0</v>
      </c>
      <c r="Z16" s="79">
        <v>0</v>
      </c>
      <c r="AA16" s="79">
        <v>1430.91017965113</v>
      </c>
      <c r="AB16" s="79">
        <v>-30.415669750535901</v>
      </c>
      <c r="AC16" s="79">
        <v>0</v>
      </c>
      <c r="AD16" s="79">
        <v>0</v>
      </c>
      <c r="AE16" s="79">
        <v>4.9164396251250801</v>
      </c>
      <c r="AF16" s="79">
        <v>0.111065263299158</v>
      </c>
      <c r="AG16" s="79">
        <v>0</v>
      </c>
      <c r="AH16" s="79">
        <v>0</v>
      </c>
      <c r="AI16" s="79">
        <v>0</v>
      </c>
      <c r="AJ16" s="79">
        <v>-18.931718437145701</v>
      </c>
      <c r="AK16" s="79">
        <v>0</v>
      </c>
      <c r="AL16" s="79">
        <v>24.715135284817499</v>
      </c>
      <c r="AM16" s="79">
        <v>0</v>
      </c>
      <c r="AN16" s="79">
        <v>177.72755931675999</v>
      </c>
      <c r="AO16" s="79">
        <v>0</v>
      </c>
      <c r="AP16" s="79">
        <v>0</v>
      </c>
      <c r="AQ16" s="79">
        <v>0</v>
      </c>
      <c r="AR16" s="79">
        <v>-2.1047668860967899</v>
      </c>
      <c r="AS16" s="79">
        <v>0</v>
      </c>
      <c r="AT16" s="80">
        <v>4.0146147170209003</v>
      </c>
    </row>
    <row r="17" spans="2:46" ht="12" customHeight="1" x14ac:dyDescent="0.25">
      <c r="B17" s="78" t="s">
        <v>35</v>
      </c>
      <c r="C17" s="79" t="s">
        <v>36</v>
      </c>
      <c r="D17" s="79" t="s">
        <v>25</v>
      </c>
      <c r="E17" s="79" t="s">
        <v>25</v>
      </c>
      <c r="F17" s="79" t="s">
        <v>25</v>
      </c>
      <c r="G17" s="79" t="s">
        <v>25</v>
      </c>
      <c r="H17" s="79" t="s">
        <v>76</v>
      </c>
      <c r="I17" s="79" t="s">
        <v>25</v>
      </c>
      <c r="J17" s="79">
        <v>28.04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13.366798441838</v>
      </c>
      <c r="Y17" s="79">
        <v>0</v>
      </c>
      <c r="Z17" s="79">
        <v>0</v>
      </c>
      <c r="AA17" s="79">
        <v>15.053424925919799</v>
      </c>
      <c r="AB17" s="79">
        <v>-0.37996694024142902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9">
        <v>0</v>
      </c>
      <c r="AI17" s="79">
        <v>0</v>
      </c>
      <c r="AJ17" s="79">
        <v>0</v>
      </c>
      <c r="AK17" s="79">
        <v>0</v>
      </c>
      <c r="AL17" s="79">
        <v>0</v>
      </c>
      <c r="AM17" s="79">
        <v>0</v>
      </c>
      <c r="AN17" s="79">
        <v>0</v>
      </c>
      <c r="AO17" s="79">
        <v>0</v>
      </c>
      <c r="AP17" s="79">
        <v>0</v>
      </c>
      <c r="AQ17" s="79">
        <v>0</v>
      </c>
      <c r="AR17" s="79">
        <v>0</v>
      </c>
      <c r="AS17" s="79">
        <v>0</v>
      </c>
      <c r="AT17" s="80">
        <v>0</v>
      </c>
    </row>
    <row r="18" spans="2:46" ht="12" customHeight="1" x14ac:dyDescent="0.25">
      <c r="B18" s="78" t="s">
        <v>35</v>
      </c>
      <c r="C18" s="79" t="s">
        <v>36</v>
      </c>
      <c r="D18" s="79" t="s">
        <v>25</v>
      </c>
      <c r="E18" s="79" t="s">
        <v>25</v>
      </c>
      <c r="F18" s="79" t="s">
        <v>25</v>
      </c>
      <c r="G18" s="79" t="s">
        <v>38</v>
      </c>
      <c r="H18" s="79" t="s">
        <v>73</v>
      </c>
      <c r="I18" s="79" t="s">
        <v>25</v>
      </c>
      <c r="J18" s="79">
        <v>100.15</v>
      </c>
      <c r="K18" s="79">
        <v>185.42</v>
      </c>
      <c r="L18" s="79">
        <v>0</v>
      </c>
      <c r="M18" s="79">
        <v>0.89445246037803305</v>
      </c>
      <c r="N18" s="79">
        <v>0</v>
      </c>
      <c r="O18" s="79">
        <v>0</v>
      </c>
      <c r="P18" s="79">
        <v>0</v>
      </c>
      <c r="Q18" s="79">
        <v>80.170430431698705</v>
      </c>
      <c r="R18" s="79">
        <v>15.082737833753701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  <c r="Z18" s="79">
        <v>0</v>
      </c>
      <c r="AA18" s="79">
        <v>0</v>
      </c>
      <c r="AB18" s="79">
        <v>-1.0279690368707901</v>
      </c>
      <c r="AC18" s="79">
        <v>0</v>
      </c>
      <c r="AD18" s="79">
        <v>0</v>
      </c>
      <c r="AE18" s="79">
        <v>4.9164396251250801</v>
      </c>
      <c r="AF18" s="79">
        <v>0.111065263299158</v>
      </c>
      <c r="AG18" s="79">
        <v>0</v>
      </c>
      <c r="AH18" s="79">
        <v>0</v>
      </c>
      <c r="AI18" s="79">
        <v>0</v>
      </c>
      <c r="AJ18" s="79">
        <v>-18.931718437145701</v>
      </c>
      <c r="AK18" s="79">
        <v>0</v>
      </c>
      <c r="AL18" s="79">
        <v>24.715135284817499</v>
      </c>
      <c r="AM18" s="79">
        <v>0</v>
      </c>
      <c r="AN18" s="79">
        <v>177.72755931675999</v>
      </c>
      <c r="AO18" s="79">
        <v>0</v>
      </c>
      <c r="AP18" s="79">
        <v>0</v>
      </c>
      <c r="AQ18" s="79">
        <v>0</v>
      </c>
      <c r="AR18" s="79">
        <v>-2.1047668860967899</v>
      </c>
      <c r="AS18" s="79">
        <v>0</v>
      </c>
      <c r="AT18" s="80">
        <v>4.0146147170209003</v>
      </c>
    </row>
    <row r="19" spans="2:46" ht="12" customHeight="1" x14ac:dyDescent="0.25">
      <c r="B19" s="78" t="s">
        <v>82</v>
      </c>
      <c r="C19" s="79" t="s">
        <v>81</v>
      </c>
      <c r="D19" s="79" t="s">
        <v>25</v>
      </c>
      <c r="E19" s="79" t="s">
        <v>25</v>
      </c>
      <c r="F19" s="79" t="s">
        <v>83</v>
      </c>
      <c r="G19" s="79" t="s">
        <v>25</v>
      </c>
      <c r="H19" s="79" t="s">
        <v>76</v>
      </c>
      <c r="I19" s="79" t="s">
        <v>25</v>
      </c>
      <c r="J19" s="79">
        <v>2.65</v>
      </c>
      <c r="K19" s="79">
        <v>0</v>
      </c>
      <c r="L19" s="79">
        <v>0</v>
      </c>
      <c r="M19" s="79">
        <v>5.40540413249268E-3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79">
        <v>2.6883659728120599</v>
      </c>
      <c r="AB19" s="79">
        <v>-3.9481373303132998E-2</v>
      </c>
      <c r="AC19" s="79">
        <v>0</v>
      </c>
      <c r="AD19" s="79">
        <v>0</v>
      </c>
      <c r="AE19" s="79">
        <v>0</v>
      </c>
      <c r="AF19" s="79">
        <v>0</v>
      </c>
      <c r="AG19" s="79">
        <v>0</v>
      </c>
      <c r="AH19" s="79">
        <v>0</v>
      </c>
      <c r="AI19" s="79">
        <v>0</v>
      </c>
      <c r="AJ19" s="79">
        <v>0</v>
      </c>
      <c r="AK19" s="79">
        <v>0</v>
      </c>
      <c r="AL19" s="79">
        <v>0</v>
      </c>
      <c r="AM19" s="79">
        <v>0</v>
      </c>
      <c r="AN19" s="79">
        <v>0</v>
      </c>
      <c r="AO19" s="79">
        <v>0</v>
      </c>
      <c r="AP19" s="79">
        <v>0</v>
      </c>
      <c r="AQ19" s="79">
        <v>0</v>
      </c>
      <c r="AR19" s="79">
        <v>0</v>
      </c>
      <c r="AS19" s="79">
        <v>0</v>
      </c>
      <c r="AT19" s="80">
        <v>0</v>
      </c>
    </row>
    <row r="20" spans="2:46" ht="12" customHeight="1" x14ac:dyDescent="0.25">
      <c r="B20" s="78" t="s">
        <v>82</v>
      </c>
      <c r="C20" s="79" t="s">
        <v>81</v>
      </c>
      <c r="D20" s="79" t="s">
        <v>25</v>
      </c>
      <c r="E20" s="79" t="s">
        <v>25</v>
      </c>
      <c r="F20" s="79" t="s">
        <v>84</v>
      </c>
      <c r="G20" s="79" t="s">
        <v>25</v>
      </c>
      <c r="H20" s="79" t="s">
        <v>76</v>
      </c>
      <c r="I20" s="79" t="s">
        <v>25</v>
      </c>
      <c r="J20" s="79">
        <v>14.6</v>
      </c>
      <c r="K20" s="79">
        <v>0</v>
      </c>
      <c r="L20" s="79">
        <v>0</v>
      </c>
      <c r="M20" s="79">
        <v>5.40540413249268E-3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14.8147127755248</v>
      </c>
      <c r="AB20" s="79">
        <v>-0.217320454282938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79">
        <v>0</v>
      </c>
      <c r="AM20" s="79">
        <v>0</v>
      </c>
      <c r="AN20" s="79">
        <v>0</v>
      </c>
      <c r="AO20" s="79">
        <v>0</v>
      </c>
      <c r="AP20" s="79">
        <v>0</v>
      </c>
      <c r="AQ20" s="79">
        <v>0</v>
      </c>
      <c r="AR20" s="79">
        <v>0</v>
      </c>
      <c r="AS20" s="79">
        <v>0</v>
      </c>
      <c r="AT20" s="80">
        <v>0</v>
      </c>
    </row>
    <row r="21" spans="2:46" ht="12" customHeight="1" x14ac:dyDescent="0.25">
      <c r="B21" s="78" t="s">
        <v>22</v>
      </c>
      <c r="C21" s="79" t="s">
        <v>87</v>
      </c>
      <c r="D21" s="79" t="s">
        <v>24</v>
      </c>
      <c r="E21" s="79" t="s">
        <v>24</v>
      </c>
      <c r="F21" s="79" t="s">
        <v>25</v>
      </c>
      <c r="G21" s="79" t="s">
        <v>37</v>
      </c>
      <c r="H21" s="79" t="s">
        <v>73</v>
      </c>
      <c r="I21" s="79" t="s">
        <v>25</v>
      </c>
      <c r="J21" s="79">
        <v>1031.74</v>
      </c>
      <c r="K21" s="79">
        <v>185.42</v>
      </c>
      <c r="L21" s="79">
        <v>0</v>
      </c>
      <c r="M21" s="79">
        <v>1.3756112304213699</v>
      </c>
      <c r="N21" s="79">
        <v>0</v>
      </c>
      <c r="O21" s="79">
        <v>0</v>
      </c>
      <c r="P21" s="79">
        <v>0</v>
      </c>
      <c r="Q21" s="79">
        <v>95.440988609165103</v>
      </c>
      <c r="R21" s="79">
        <v>15.082737833753701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306.44986732029201</v>
      </c>
      <c r="Y21" s="79">
        <v>0</v>
      </c>
      <c r="Z21" s="79">
        <v>0</v>
      </c>
      <c r="AA21" s="79">
        <v>613.02610473443099</v>
      </c>
      <c r="AB21" s="79">
        <v>-13.9317277929713</v>
      </c>
      <c r="AC21" s="79">
        <v>0</v>
      </c>
      <c r="AD21" s="79">
        <v>0</v>
      </c>
      <c r="AE21" s="79">
        <v>13.9821508164595</v>
      </c>
      <c r="AF21" s="79">
        <v>0.315823670834319</v>
      </c>
      <c r="AG21" s="79">
        <v>0</v>
      </c>
      <c r="AH21" s="79">
        <v>0</v>
      </c>
      <c r="AI21" s="79">
        <v>0</v>
      </c>
      <c r="AJ21" s="79">
        <v>-18.931718437145701</v>
      </c>
      <c r="AK21" s="79">
        <v>0</v>
      </c>
      <c r="AL21" s="79">
        <v>24.715135284817499</v>
      </c>
      <c r="AM21" s="79">
        <v>0</v>
      </c>
      <c r="AN21" s="79">
        <v>177.72755931675999</v>
      </c>
      <c r="AO21" s="79">
        <v>0</v>
      </c>
      <c r="AP21" s="79">
        <v>0</v>
      </c>
      <c r="AQ21" s="79">
        <v>0</v>
      </c>
      <c r="AR21" s="79">
        <v>-2.1047668860967899</v>
      </c>
      <c r="AS21" s="79">
        <v>0</v>
      </c>
      <c r="AT21" s="80">
        <v>4.0146147170209003</v>
      </c>
    </row>
    <row r="22" spans="2:46" ht="12" customHeight="1" x14ac:dyDescent="0.25">
      <c r="B22" s="78" t="s">
        <v>22</v>
      </c>
      <c r="C22" s="79" t="s">
        <v>87</v>
      </c>
      <c r="D22" s="79" t="s">
        <v>24</v>
      </c>
      <c r="E22" s="79" t="s">
        <v>24</v>
      </c>
      <c r="F22" s="79" t="s">
        <v>25</v>
      </c>
      <c r="G22" s="79" t="s">
        <v>559</v>
      </c>
      <c r="H22" s="79" t="s">
        <v>73</v>
      </c>
      <c r="I22" s="79" t="s">
        <v>25</v>
      </c>
      <c r="J22" s="79">
        <v>669</v>
      </c>
      <c r="K22" s="79">
        <v>185.42</v>
      </c>
      <c r="L22" s="79">
        <v>0</v>
      </c>
      <c r="M22" s="79">
        <v>1.3756112304213699</v>
      </c>
      <c r="N22" s="79">
        <v>0</v>
      </c>
      <c r="O22" s="79">
        <v>0</v>
      </c>
      <c r="P22" s="79">
        <v>0</v>
      </c>
      <c r="Q22" s="79">
        <v>95.440988609165103</v>
      </c>
      <c r="R22" s="79">
        <v>15.082737833753701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  <c r="X22" s="79">
        <v>183.86711518788499</v>
      </c>
      <c r="Y22" s="79">
        <v>0</v>
      </c>
      <c r="Z22" s="79">
        <v>0</v>
      </c>
      <c r="AA22" s="79">
        <v>367.81562094295799</v>
      </c>
      <c r="AB22" s="79">
        <v>-8.8756098986225602</v>
      </c>
      <c r="AC22" s="79">
        <v>0</v>
      </c>
      <c r="AD22" s="79">
        <v>0</v>
      </c>
      <c r="AE22" s="79">
        <v>13.9821508164595</v>
      </c>
      <c r="AF22" s="79">
        <v>0.315823670834319</v>
      </c>
      <c r="AG22" s="79">
        <v>0</v>
      </c>
      <c r="AH22" s="79">
        <v>0</v>
      </c>
      <c r="AI22" s="79">
        <v>0</v>
      </c>
      <c r="AJ22" s="79">
        <v>-18.931718437145701</v>
      </c>
      <c r="AK22" s="79">
        <v>0</v>
      </c>
      <c r="AL22" s="79">
        <v>24.715135284817499</v>
      </c>
      <c r="AM22" s="79">
        <v>0</v>
      </c>
      <c r="AN22" s="79">
        <v>177.72755931675999</v>
      </c>
      <c r="AO22" s="79">
        <v>0</v>
      </c>
      <c r="AP22" s="79">
        <v>0</v>
      </c>
      <c r="AQ22" s="79">
        <v>0</v>
      </c>
      <c r="AR22" s="79">
        <v>-2.1047668860967899</v>
      </c>
      <c r="AS22" s="79">
        <v>0</v>
      </c>
      <c r="AT22" s="80">
        <v>4.0146147170209003</v>
      </c>
    </row>
    <row r="23" spans="2:46" ht="12" customHeight="1" x14ac:dyDescent="0.25">
      <c r="B23" s="78" t="s">
        <v>22</v>
      </c>
      <c r="C23" s="79" t="s">
        <v>87</v>
      </c>
      <c r="D23" s="79" t="s">
        <v>24</v>
      </c>
      <c r="E23" s="79" t="s">
        <v>24</v>
      </c>
      <c r="F23" s="79" t="s">
        <v>25</v>
      </c>
      <c r="G23" s="79" t="s">
        <v>38</v>
      </c>
      <c r="H23" s="79" t="s">
        <v>73</v>
      </c>
      <c r="I23" s="79" t="s">
        <v>25</v>
      </c>
      <c r="J23" s="79">
        <v>306.27</v>
      </c>
      <c r="K23" s="79">
        <v>185.42</v>
      </c>
      <c r="L23" s="79">
        <v>0</v>
      </c>
      <c r="M23" s="79">
        <v>1.3756112304213699</v>
      </c>
      <c r="N23" s="79">
        <v>0</v>
      </c>
      <c r="O23" s="79">
        <v>0</v>
      </c>
      <c r="P23" s="79">
        <v>0</v>
      </c>
      <c r="Q23" s="79">
        <v>95.440988609165103</v>
      </c>
      <c r="R23" s="79">
        <v>15.082737833753701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61.289038395961697</v>
      </c>
      <c r="Y23" s="79">
        <v>0</v>
      </c>
      <c r="Z23" s="79">
        <v>0</v>
      </c>
      <c r="AA23" s="79">
        <v>122.605137151485</v>
      </c>
      <c r="AB23" s="79">
        <v>-3.8195476883454398</v>
      </c>
      <c r="AC23" s="79">
        <v>0</v>
      </c>
      <c r="AD23" s="79">
        <v>0</v>
      </c>
      <c r="AE23" s="79">
        <v>13.9821508164595</v>
      </c>
      <c r="AF23" s="79">
        <v>0.315823670834319</v>
      </c>
      <c r="AG23" s="79">
        <v>0</v>
      </c>
      <c r="AH23" s="79">
        <v>0</v>
      </c>
      <c r="AI23" s="79">
        <v>0</v>
      </c>
      <c r="AJ23" s="79">
        <v>-18.931718437145701</v>
      </c>
      <c r="AK23" s="79">
        <v>0</v>
      </c>
      <c r="AL23" s="79">
        <v>24.715135284817499</v>
      </c>
      <c r="AM23" s="79">
        <v>0</v>
      </c>
      <c r="AN23" s="79">
        <v>177.72755931675999</v>
      </c>
      <c r="AO23" s="79">
        <v>0</v>
      </c>
      <c r="AP23" s="79">
        <v>0</v>
      </c>
      <c r="AQ23" s="79">
        <v>0</v>
      </c>
      <c r="AR23" s="79">
        <v>-2.1047668860967899</v>
      </c>
      <c r="AS23" s="79">
        <v>0</v>
      </c>
      <c r="AT23" s="80">
        <v>4.0146147170209003</v>
      </c>
    </row>
    <row r="24" spans="2:46" ht="12" customHeight="1" x14ac:dyDescent="0.25">
      <c r="B24" s="78" t="s">
        <v>22</v>
      </c>
      <c r="C24" s="79" t="s">
        <v>23</v>
      </c>
      <c r="D24" s="79" t="s">
        <v>24</v>
      </c>
      <c r="E24" s="79" t="s">
        <v>1086</v>
      </c>
      <c r="F24" s="79" t="s">
        <v>25</v>
      </c>
      <c r="G24" s="79" t="s">
        <v>25</v>
      </c>
      <c r="H24" s="79" t="s">
        <v>73</v>
      </c>
      <c r="I24" s="79" t="s">
        <v>25</v>
      </c>
      <c r="J24" s="79">
        <v>328.2</v>
      </c>
      <c r="K24" s="79">
        <v>185.42</v>
      </c>
      <c r="L24" s="79">
        <v>0</v>
      </c>
      <c r="M24" s="79">
        <v>1.3756112304213699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105.66737026372201</v>
      </c>
      <c r="Y24" s="79">
        <v>0</v>
      </c>
      <c r="Z24" s="79">
        <v>0</v>
      </c>
      <c r="AA24" s="79">
        <v>211.38825057558699</v>
      </c>
      <c r="AB24" s="79">
        <v>-4.5336291741797803</v>
      </c>
      <c r="AC24" s="79">
        <v>0</v>
      </c>
      <c r="AD24" s="79">
        <v>0</v>
      </c>
      <c r="AE24" s="79">
        <v>13.9821508164595</v>
      </c>
      <c r="AF24" s="79">
        <v>0.315823670834319</v>
      </c>
      <c r="AG24" s="79">
        <v>0</v>
      </c>
      <c r="AH24" s="79">
        <v>0</v>
      </c>
      <c r="AI24" s="79">
        <v>0</v>
      </c>
      <c r="AJ24" s="79">
        <v>-18.931718437145701</v>
      </c>
      <c r="AK24" s="79">
        <v>0</v>
      </c>
      <c r="AL24" s="79">
        <v>24.715135284817499</v>
      </c>
      <c r="AM24" s="79">
        <v>0</v>
      </c>
      <c r="AN24" s="79">
        <v>177.72755931675999</v>
      </c>
      <c r="AO24" s="79">
        <v>0</v>
      </c>
      <c r="AP24" s="79">
        <v>0</v>
      </c>
      <c r="AQ24" s="79">
        <v>0</v>
      </c>
      <c r="AR24" s="79">
        <v>-2.1047668860967899</v>
      </c>
      <c r="AS24" s="79">
        <v>0</v>
      </c>
      <c r="AT24" s="80">
        <v>4.0146147170209003</v>
      </c>
    </row>
    <row r="25" spans="2:46" ht="12" customHeight="1" x14ac:dyDescent="0.25">
      <c r="B25" s="78" t="s">
        <v>22</v>
      </c>
      <c r="C25" s="79" t="s">
        <v>23</v>
      </c>
      <c r="D25" s="79" t="s">
        <v>24</v>
      </c>
      <c r="E25" s="79" t="s">
        <v>24</v>
      </c>
      <c r="F25" s="79" t="s">
        <v>25</v>
      </c>
      <c r="G25" s="79" t="s">
        <v>25</v>
      </c>
      <c r="H25" s="79" t="s">
        <v>73</v>
      </c>
      <c r="I25" s="79" t="s">
        <v>25</v>
      </c>
      <c r="J25" s="79">
        <v>437.6</v>
      </c>
      <c r="K25" s="79">
        <v>185.42</v>
      </c>
      <c r="L25" s="79">
        <v>0</v>
      </c>
      <c r="M25" s="79">
        <v>1.3756112304213699</v>
      </c>
      <c r="N25" s="79">
        <v>0</v>
      </c>
      <c r="O25" s="79">
        <v>0</v>
      </c>
      <c r="P25" s="79">
        <v>0</v>
      </c>
      <c r="Q25" s="79">
        <v>95.440988609165103</v>
      </c>
      <c r="R25" s="79">
        <v>15.082737833753701</v>
      </c>
      <c r="S25" s="79">
        <v>0</v>
      </c>
      <c r="T25" s="79">
        <v>0</v>
      </c>
      <c r="U25" s="79">
        <v>0</v>
      </c>
      <c r="V25" s="79">
        <v>0</v>
      </c>
      <c r="W25" s="79">
        <v>0</v>
      </c>
      <c r="X25" s="79">
        <v>105.66737026372201</v>
      </c>
      <c r="Y25" s="79">
        <v>0</v>
      </c>
      <c r="Z25" s="79">
        <v>0</v>
      </c>
      <c r="AA25" s="79">
        <v>211.38825057558699</v>
      </c>
      <c r="AB25" s="79">
        <v>-5.6501506854027399</v>
      </c>
      <c r="AC25" s="79">
        <v>0</v>
      </c>
      <c r="AD25" s="79">
        <v>0</v>
      </c>
      <c r="AE25" s="79">
        <v>13.9821508164595</v>
      </c>
      <c r="AF25" s="79">
        <v>0.315823670834319</v>
      </c>
      <c r="AG25" s="79">
        <v>0</v>
      </c>
      <c r="AH25" s="79">
        <v>0</v>
      </c>
      <c r="AI25" s="79">
        <v>0</v>
      </c>
      <c r="AJ25" s="79">
        <v>-18.931718437145701</v>
      </c>
      <c r="AK25" s="79">
        <v>0</v>
      </c>
      <c r="AL25" s="79">
        <v>24.715135284817499</v>
      </c>
      <c r="AM25" s="79">
        <v>0</v>
      </c>
      <c r="AN25" s="79">
        <v>177.72755931675999</v>
      </c>
      <c r="AO25" s="79">
        <v>0</v>
      </c>
      <c r="AP25" s="79">
        <v>0</v>
      </c>
      <c r="AQ25" s="79">
        <v>0</v>
      </c>
      <c r="AR25" s="79">
        <v>-2.1047668860967899</v>
      </c>
      <c r="AS25" s="79">
        <v>0</v>
      </c>
      <c r="AT25" s="80">
        <v>4.0146147170209003</v>
      </c>
    </row>
    <row r="26" spans="2:46" ht="12" customHeight="1" x14ac:dyDescent="0.25">
      <c r="B26" s="78" t="s">
        <v>22</v>
      </c>
      <c r="C26" s="79" t="s">
        <v>89</v>
      </c>
      <c r="D26" s="79" t="s">
        <v>24</v>
      </c>
      <c r="E26" s="79" t="s">
        <v>1086</v>
      </c>
      <c r="F26" s="79" t="s">
        <v>25</v>
      </c>
      <c r="G26" s="79" t="s">
        <v>25</v>
      </c>
      <c r="H26" s="79" t="s">
        <v>73</v>
      </c>
      <c r="I26" s="79" t="s">
        <v>25</v>
      </c>
      <c r="J26" s="79">
        <v>328.2</v>
      </c>
      <c r="K26" s="79">
        <v>185.42</v>
      </c>
      <c r="L26" s="79">
        <v>0</v>
      </c>
      <c r="M26" s="79">
        <v>1.3756112304213699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105.66737026372201</v>
      </c>
      <c r="Y26" s="79">
        <v>0</v>
      </c>
      <c r="Z26" s="79">
        <v>0</v>
      </c>
      <c r="AA26" s="79">
        <v>211.38825057558699</v>
      </c>
      <c r="AB26" s="79">
        <v>-4.5336291741797803</v>
      </c>
      <c r="AC26" s="79">
        <v>0</v>
      </c>
      <c r="AD26" s="79">
        <v>0</v>
      </c>
      <c r="AE26" s="79">
        <v>13.9821508164595</v>
      </c>
      <c r="AF26" s="79">
        <v>0.315823670834319</v>
      </c>
      <c r="AG26" s="79">
        <v>0</v>
      </c>
      <c r="AH26" s="79">
        <v>0</v>
      </c>
      <c r="AI26" s="79">
        <v>0</v>
      </c>
      <c r="AJ26" s="79">
        <v>-18.931718437145701</v>
      </c>
      <c r="AK26" s="79">
        <v>0</v>
      </c>
      <c r="AL26" s="79">
        <v>24.715135284817499</v>
      </c>
      <c r="AM26" s="79">
        <v>0</v>
      </c>
      <c r="AN26" s="79">
        <v>177.72755931675999</v>
      </c>
      <c r="AO26" s="79">
        <v>0</v>
      </c>
      <c r="AP26" s="79">
        <v>0</v>
      </c>
      <c r="AQ26" s="79">
        <v>0</v>
      </c>
      <c r="AR26" s="79">
        <v>-2.1047668860967899</v>
      </c>
      <c r="AS26" s="79">
        <v>0</v>
      </c>
      <c r="AT26" s="80">
        <v>4.0146147170209003</v>
      </c>
    </row>
    <row r="27" spans="2:46" ht="12" customHeight="1" x14ac:dyDescent="0.25">
      <c r="B27" s="78" t="s">
        <v>22</v>
      </c>
      <c r="C27" s="79" t="s">
        <v>89</v>
      </c>
      <c r="D27" s="79" t="s">
        <v>24</v>
      </c>
      <c r="E27" s="79" t="s">
        <v>24</v>
      </c>
      <c r="F27" s="79" t="s">
        <v>25</v>
      </c>
      <c r="G27" s="79" t="s">
        <v>25</v>
      </c>
      <c r="H27" s="79" t="s">
        <v>73</v>
      </c>
      <c r="I27" s="79" t="s">
        <v>25</v>
      </c>
      <c r="J27" s="79">
        <v>437.6</v>
      </c>
      <c r="K27" s="79">
        <v>185.42</v>
      </c>
      <c r="L27" s="79">
        <v>0</v>
      </c>
      <c r="M27" s="79">
        <v>1.3756112304213699</v>
      </c>
      <c r="N27" s="79">
        <v>0</v>
      </c>
      <c r="O27" s="79">
        <v>0</v>
      </c>
      <c r="P27" s="79">
        <v>0</v>
      </c>
      <c r="Q27" s="79">
        <v>95.440988609165103</v>
      </c>
      <c r="R27" s="79">
        <v>15.082737833753701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105.66737026372201</v>
      </c>
      <c r="Y27" s="79">
        <v>0</v>
      </c>
      <c r="Z27" s="79">
        <v>0</v>
      </c>
      <c r="AA27" s="79">
        <v>211.38825057558699</v>
      </c>
      <c r="AB27" s="79">
        <v>-5.6501506854027399</v>
      </c>
      <c r="AC27" s="79">
        <v>0</v>
      </c>
      <c r="AD27" s="79">
        <v>0</v>
      </c>
      <c r="AE27" s="79">
        <v>13.9821508164595</v>
      </c>
      <c r="AF27" s="79">
        <v>0.315823670834319</v>
      </c>
      <c r="AG27" s="79">
        <v>0</v>
      </c>
      <c r="AH27" s="79">
        <v>0</v>
      </c>
      <c r="AI27" s="79">
        <v>0</v>
      </c>
      <c r="AJ27" s="79">
        <v>-18.931718437145701</v>
      </c>
      <c r="AK27" s="79">
        <v>0</v>
      </c>
      <c r="AL27" s="79">
        <v>24.715135284817499</v>
      </c>
      <c r="AM27" s="79">
        <v>0</v>
      </c>
      <c r="AN27" s="79">
        <v>177.72755931675999</v>
      </c>
      <c r="AO27" s="79">
        <v>0</v>
      </c>
      <c r="AP27" s="79">
        <v>0</v>
      </c>
      <c r="AQ27" s="79">
        <v>0</v>
      </c>
      <c r="AR27" s="79">
        <v>-2.1047668860967899</v>
      </c>
      <c r="AS27" s="79">
        <v>0</v>
      </c>
      <c r="AT27" s="80">
        <v>4.0146147170209003</v>
      </c>
    </row>
    <row r="28" spans="2:46" ht="12" customHeight="1" x14ac:dyDescent="0.25">
      <c r="B28" s="78" t="s">
        <v>40</v>
      </c>
      <c r="C28" s="79" t="s">
        <v>87</v>
      </c>
      <c r="D28" s="79" t="s">
        <v>41</v>
      </c>
      <c r="E28" s="79" t="s">
        <v>90</v>
      </c>
      <c r="F28" s="79" t="s">
        <v>25</v>
      </c>
      <c r="G28" s="79" t="s">
        <v>37</v>
      </c>
      <c r="H28" s="79" t="s">
        <v>73</v>
      </c>
      <c r="I28" s="79" t="s">
        <v>25</v>
      </c>
      <c r="J28" s="79">
        <v>1028.6199999999999</v>
      </c>
      <c r="K28" s="79">
        <v>174.3</v>
      </c>
      <c r="L28" s="79">
        <v>0</v>
      </c>
      <c r="M28" s="79">
        <v>1.2930745565960899</v>
      </c>
      <c r="N28" s="79">
        <v>0</v>
      </c>
      <c r="O28" s="79">
        <v>0</v>
      </c>
      <c r="P28" s="79">
        <v>0</v>
      </c>
      <c r="Q28" s="79">
        <v>89.714529292615197</v>
      </c>
      <c r="R28" s="79">
        <v>14.177773563728501</v>
      </c>
      <c r="S28" s="79">
        <v>0</v>
      </c>
      <c r="T28" s="79">
        <v>0</v>
      </c>
      <c r="U28" s="79">
        <v>0</v>
      </c>
      <c r="V28" s="79">
        <v>0</v>
      </c>
      <c r="W28" s="79">
        <v>0</v>
      </c>
      <c r="X28" s="79">
        <v>307.92746192664299</v>
      </c>
      <c r="Y28" s="79">
        <v>0</v>
      </c>
      <c r="Z28" s="79">
        <v>0</v>
      </c>
      <c r="AA28" s="79">
        <v>615.98558863433402</v>
      </c>
      <c r="AB28" s="79">
        <v>-13.9152374455845</v>
      </c>
      <c r="AC28" s="79">
        <v>0</v>
      </c>
      <c r="AD28" s="79">
        <v>0</v>
      </c>
      <c r="AE28" s="79">
        <v>13.1432217674719</v>
      </c>
      <c r="AF28" s="79">
        <v>0.29687425058425998</v>
      </c>
      <c r="AG28" s="79">
        <v>0</v>
      </c>
      <c r="AH28" s="79">
        <v>0</v>
      </c>
      <c r="AI28" s="79">
        <v>0</v>
      </c>
      <c r="AJ28" s="79">
        <v>-17.795815330917002</v>
      </c>
      <c r="AK28" s="79">
        <v>0</v>
      </c>
      <c r="AL28" s="79">
        <v>23.2322271677284</v>
      </c>
      <c r="AM28" s="79">
        <v>0</v>
      </c>
      <c r="AN28" s="79">
        <v>167.06390575775399</v>
      </c>
      <c r="AO28" s="79">
        <v>0</v>
      </c>
      <c r="AP28" s="79">
        <v>0</v>
      </c>
      <c r="AQ28" s="79">
        <v>0</v>
      </c>
      <c r="AR28" s="79">
        <v>-1.97848087293099</v>
      </c>
      <c r="AS28" s="79">
        <v>0</v>
      </c>
      <c r="AT28" s="80">
        <v>3.7737378339996499</v>
      </c>
    </row>
    <row r="29" spans="2:46" ht="12" customHeight="1" x14ac:dyDescent="0.25">
      <c r="B29" s="78" t="s">
        <v>40</v>
      </c>
      <c r="C29" s="79" t="s">
        <v>87</v>
      </c>
      <c r="D29" s="79" t="s">
        <v>41</v>
      </c>
      <c r="E29" s="79" t="s">
        <v>90</v>
      </c>
      <c r="F29" s="79" t="s">
        <v>25</v>
      </c>
      <c r="G29" s="79" t="s">
        <v>559</v>
      </c>
      <c r="H29" s="79" t="s">
        <v>73</v>
      </c>
      <c r="I29" s="79" t="s">
        <v>25</v>
      </c>
      <c r="J29" s="79">
        <v>664.14</v>
      </c>
      <c r="K29" s="79">
        <v>174.3</v>
      </c>
      <c r="L29" s="79">
        <v>0</v>
      </c>
      <c r="M29" s="79">
        <v>1.2930745565960899</v>
      </c>
      <c r="N29" s="79">
        <v>0</v>
      </c>
      <c r="O29" s="79">
        <v>0</v>
      </c>
      <c r="P29" s="79">
        <v>0</v>
      </c>
      <c r="Q29" s="79">
        <v>89.714529292615197</v>
      </c>
      <c r="R29" s="79">
        <v>14.177773563728501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184.75823508400799</v>
      </c>
      <c r="Y29" s="79">
        <v>0</v>
      </c>
      <c r="Z29" s="79">
        <v>0</v>
      </c>
      <c r="AA29" s="79">
        <v>369.59133348868102</v>
      </c>
      <c r="AB29" s="79">
        <v>-8.8347739286395104</v>
      </c>
      <c r="AC29" s="79">
        <v>0</v>
      </c>
      <c r="AD29" s="79">
        <v>0</v>
      </c>
      <c r="AE29" s="79">
        <v>13.1432217674719</v>
      </c>
      <c r="AF29" s="79">
        <v>0.29687425058425998</v>
      </c>
      <c r="AG29" s="79">
        <v>0</v>
      </c>
      <c r="AH29" s="79">
        <v>0</v>
      </c>
      <c r="AI29" s="79">
        <v>0</v>
      </c>
      <c r="AJ29" s="79">
        <v>-17.795815330917002</v>
      </c>
      <c r="AK29" s="79">
        <v>0</v>
      </c>
      <c r="AL29" s="79">
        <v>23.2322271677284</v>
      </c>
      <c r="AM29" s="79">
        <v>0</v>
      </c>
      <c r="AN29" s="79">
        <v>167.06390575775399</v>
      </c>
      <c r="AO29" s="79">
        <v>0</v>
      </c>
      <c r="AP29" s="79">
        <v>0</v>
      </c>
      <c r="AQ29" s="79">
        <v>0</v>
      </c>
      <c r="AR29" s="79">
        <v>-1.97848087293099</v>
      </c>
      <c r="AS29" s="79">
        <v>0</v>
      </c>
      <c r="AT29" s="80">
        <v>3.7737378339996499</v>
      </c>
    </row>
    <row r="30" spans="2:46" ht="12" customHeight="1" x14ac:dyDescent="0.25">
      <c r="B30" s="78" t="s">
        <v>40</v>
      </c>
      <c r="C30" s="79" t="s">
        <v>87</v>
      </c>
      <c r="D30" s="79" t="s">
        <v>41</v>
      </c>
      <c r="E30" s="79" t="s">
        <v>90</v>
      </c>
      <c r="F30" s="79" t="s">
        <v>25</v>
      </c>
      <c r="G30" s="79" t="s">
        <v>38</v>
      </c>
      <c r="H30" s="79" t="s">
        <v>73</v>
      </c>
      <c r="I30" s="79" t="s">
        <v>25</v>
      </c>
      <c r="J30" s="79">
        <v>299.66000000000003</v>
      </c>
      <c r="K30" s="79">
        <v>174.3</v>
      </c>
      <c r="L30" s="79">
        <v>0</v>
      </c>
      <c r="M30" s="79">
        <v>1.2930745565960899</v>
      </c>
      <c r="N30" s="79">
        <v>0</v>
      </c>
      <c r="O30" s="79">
        <v>0</v>
      </c>
      <c r="P30" s="79">
        <v>0</v>
      </c>
      <c r="Q30" s="79">
        <v>89.714529292615197</v>
      </c>
      <c r="R30" s="79">
        <v>14.177773563728501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61.589008241372099</v>
      </c>
      <c r="Y30" s="79">
        <v>0</v>
      </c>
      <c r="Z30" s="79">
        <v>0</v>
      </c>
      <c r="AA30" s="79">
        <v>123.197078343028</v>
      </c>
      <c r="AB30" s="79">
        <v>-3.7543104116944899</v>
      </c>
      <c r="AC30" s="79">
        <v>0</v>
      </c>
      <c r="AD30" s="79">
        <v>0</v>
      </c>
      <c r="AE30" s="79">
        <v>13.1432217674719</v>
      </c>
      <c r="AF30" s="79">
        <v>0.29687425058425998</v>
      </c>
      <c r="AG30" s="79">
        <v>0</v>
      </c>
      <c r="AH30" s="79">
        <v>0</v>
      </c>
      <c r="AI30" s="79">
        <v>0</v>
      </c>
      <c r="AJ30" s="79">
        <v>-17.795815330917002</v>
      </c>
      <c r="AK30" s="79">
        <v>0</v>
      </c>
      <c r="AL30" s="79">
        <v>23.2322271677284</v>
      </c>
      <c r="AM30" s="79">
        <v>0</v>
      </c>
      <c r="AN30" s="79">
        <v>167.06390575775399</v>
      </c>
      <c r="AO30" s="79">
        <v>0</v>
      </c>
      <c r="AP30" s="79">
        <v>0</v>
      </c>
      <c r="AQ30" s="79">
        <v>0</v>
      </c>
      <c r="AR30" s="79">
        <v>-1.97848087293099</v>
      </c>
      <c r="AS30" s="79">
        <v>0</v>
      </c>
      <c r="AT30" s="80">
        <v>3.7737378339996499</v>
      </c>
    </row>
    <row r="31" spans="2:46" ht="12" customHeight="1" x14ac:dyDescent="0.25">
      <c r="B31" s="78" t="s">
        <v>40</v>
      </c>
      <c r="C31" s="79" t="s">
        <v>87</v>
      </c>
      <c r="D31" s="79" t="s">
        <v>41</v>
      </c>
      <c r="E31" s="79" t="s">
        <v>25</v>
      </c>
      <c r="F31" s="79" t="s">
        <v>25</v>
      </c>
      <c r="G31" s="79" t="s">
        <v>37</v>
      </c>
      <c r="H31" s="79" t="s">
        <v>73</v>
      </c>
      <c r="I31" s="79" t="s">
        <v>25</v>
      </c>
      <c r="J31" s="79">
        <v>1028.6199999999999</v>
      </c>
      <c r="K31" s="79">
        <v>174.3</v>
      </c>
      <c r="L31" s="79">
        <v>0</v>
      </c>
      <c r="M31" s="79">
        <v>1.2930745565960899</v>
      </c>
      <c r="N31" s="79">
        <v>0</v>
      </c>
      <c r="O31" s="79">
        <v>0</v>
      </c>
      <c r="P31" s="79">
        <v>0</v>
      </c>
      <c r="Q31" s="79">
        <v>89.714529292615197</v>
      </c>
      <c r="R31" s="79">
        <v>14.177773563728501</v>
      </c>
      <c r="S31" s="79">
        <v>0</v>
      </c>
      <c r="T31" s="79">
        <v>0</v>
      </c>
      <c r="U31" s="79">
        <v>0</v>
      </c>
      <c r="V31" s="79">
        <v>0</v>
      </c>
      <c r="W31" s="79">
        <v>0</v>
      </c>
      <c r="X31" s="79">
        <v>307.92746192664299</v>
      </c>
      <c r="Y31" s="79">
        <v>0</v>
      </c>
      <c r="Z31" s="79">
        <v>0</v>
      </c>
      <c r="AA31" s="79">
        <v>615.98558863433402</v>
      </c>
      <c r="AB31" s="79">
        <v>-13.9152374455845</v>
      </c>
      <c r="AC31" s="79">
        <v>0</v>
      </c>
      <c r="AD31" s="79">
        <v>0</v>
      </c>
      <c r="AE31" s="79">
        <v>13.1432217674719</v>
      </c>
      <c r="AF31" s="79">
        <v>0.29687425058425998</v>
      </c>
      <c r="AG31" s="79">
        <v>0</v>
      </c>
      <c r="AH31" s="79">
        <v>0</v>
      </c>
      <c r="AI31" s="79">
        <v>0</v>
      </c>
      <c r="AJ31" s="79">
        <v>-17.795815330917002</v>
      </c>
      <c r="AK31" s="79">
        <v>0</v>
      </c>
      <c r="AL31" s="79">
        <v>23.2322271677284</v>
      </c>
      <c r="AM31" s="79">
        <v>0</v>
      </c>
      <c r="AN31" s="79">
        <v>167.06390575775399</v>
      </c>
      <c r="AO31" s="79">
        <v>0</v>
      </c>
      <c r="AP31" s="79">
        <v>0</v>
      </c>
      <c r="AQ31" s="79">
        <v>0</v>
      </c>
      <c r="AR31" s="79">
        <v>-1.97848087293099</v>
      </c>
      <c r="AS31" s="79">
        <v>0</v>
      </c>
      <c r="AT31" s="80">
        <v>3.7737378339996499</v>
      </c>
    </row>
    <row r="32" spans="2:46" ht="12" customHeight="1" x14ac:dyDescent="0.25">
      <c r="B32" s="78" t="s">
        <v>40</v>
      </c>
      <c r="C32" s="79" t="s">
        <v>87</v>
      </c>
      <c r="D32" s="79" t="s">
        <v>41</v>
      </c>
      <c r="E32" s="79" t="s">
        <v>25</v>
      </c>
      <c r="F32" s="79" t="s">
        <v>25</v>
      </c>
      <c r="G32" s="79" t="s">
        <v>559</v>
      </c>
      <c r="H32" s="79" t="s">
        <v>73</v>
      </c>
      <c r="I32" s="79" t="s">
        <v>25</v>
      </c>
      <c r="J32" s="79">
        <v>664.14</v>
      </c>
      <c r="K32" s="79">
        <v>174.3</v>
      </c>
      <c r="L32" s="79">
        <v>0</v>
      </c>
      <c r="M32" s="79">
        <v>1.2930745565960899</v>
      </c>
      <c r="N32" s="79">
        <v>0</v>
      </c>
      <c r="O32" s="79">
        <v>0</v>
      </c>
      <c r="P32" s="79">
        <v>0</v>
      </c>
      <c r="Q32" s="79">
        <v>89.714529292615197</v>
      </c>
      <c r="R32" s="79">
        <v>14.177773563728501</v>
      </c>
      <c r="S32" s="79">
        <v>0</v>
      </c>
      <c r="T32" s="79">
        <v>0</v>
      </c>
      <c r="U32" s="79">
        <v>0</v>
      </c>
      <c r="V32" s="79">
        <v>0</v>
      </c>
      <c r="W32" s="79">
        <v>0</v>
      </c>
      <c r="X32" s="79">
        <v>184.75823508400799</v>
      </c>
      <c r="Y32" s="79">
        <v>0</v>
      </c>
      <c r="Z32" s="79">
        <v>0</v>
      </c>
      <c r="AA32" s="79">
        <v>369.59133348868102</v>
      </c>
      <c r="AB32" s="79">
        <v>-8.8347739286395104</v>
      </c>
      <c r="AC32" s="79">
        <v>0</v>
      </c>
      <c r="AD32" s="79">
        <v>0</v>
      </c>
      <c r="AE32" s="79">
        <v>13.1432217674719</v>
      </c>
      <c r="AF32" s="79">
        <v>0.29687425058425998</v>
      </c>
      <c r="AG32" s="79">
        <v>0</v>
      </c>
      <c r="AH32" s="79">
        <v>0</v>
      </c>
      <c r="AI32" s="79">
        <v>0</v>
      </c>
      <c r="AJ32" s="79">
        <v>-17.795815330917002</v>
      </c>
      <c r="AK32" s="79">
        <v>0</v>
      </c>
      <c r="AL32" s="79">
        <v>23.2322271677284</v>
      </c>
      <c r="AM32" s="79">
        <v>0</v>
      </c>
      <c r="AN32" s="79">
        <v>167.06390575775399</v>
      </c>
      <c r="AO32" s="79">
        <v>0</v>
      </c>
      <c r="AP32" s="79">
        <v>0</v>
      </c>
      <c r="AQ32" s="79">
        <v>0</v>
      </c>
      <c r="AR32" s="79">
        <v>-1.97848087293099</v>
      </c>
      <c r="AS32" s="79">
        <v>0</v>
      </c>
      <c r="AT32" s="80">
        <v>3.7737378339996499</v>
      </c>
    </row>
    <row r="33" spans="2:46" ht="12" customHeight="1" x14ac:dyDescent="0.25">
      <c r="B33" s="78" t="s">
        <v>40</v>
      </c>
      <c r="C33" s="79" t="s">
        <v>87</v>
      </c>
      <c r="D33" s="79" t="s">
        <v>41</v>
      </c>
      <c r="E33" s="79" t="s">
        <v>25</v>
      </c>
      <c r="F33" s="79" t="s">
        <v>25</v>
      </c>
      <c r="G33" s="79" t="s">
        <v>38</v>
      </c>
      <c r="H33" s="79" t="s">
        <v>73</v>
      </c>
      <c r="I33" s="79" t="s">
        <v>25</v>
      </c>
      <c r="J33" s="79">
        <v>299.66000000000003</v>
      </c>
      <c r="K33" s="79">
        <v>174.3</v>
      </c>
      <c r="L33" s="79">
        <v>0</v>
      </c>
      <c r="M33" s="79">
        <v>1.2930745565960899</v>
      </c>
      <c r="N33" s="79">
        <v>0</v>
      </c>
      <c r="O33" s="79">
        <v>0</v>
      </c>
      <c r="P33" s="79">
        <v>0</v>
      </c>
      <c r="Q33" s="79">
        <v>89.714529292615197</v>
      </c>
      <c r="R33" s="79">
        <v>14.177773563728501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61.589008241372099</v>
      </c>
      <c r="Y33" s="79">
        <v>0</v>
      </c>
      <c r="Z33" s="79">
        <v>0</v>
      </c>
      <c r="AA33" s="79">
        <v>123.197078343028</v>
      </c>
      <c r="AB33" s="79">
        <v>-3.7543104116944899</v>
      </c>
      <c r="AC33" s="79">
        <v>0</v>
      </c>
      <c r="AD33" s="79">
        <v>0</v>
      </c>
      <c r="AE33" s="79">
        <v>13.1432217674719</v>
      </c>
      <c r="AF33" s="79">
        <v>0.29687425058425998</v>
      </c>
      <c r="AG33" s="79">
        <v>0</v>
      </c>
      <c r="AH33" s="79">
        <v>0</v>
      </c>
      <c r="AI33" s="79">
        <v>0</v>
      </c>
      <c r="AJ33" s="79">
        <v>-17.795815330917002</v>
      </c>
      <c r="AK33" s="79">
        <v>0</v>
      </c>
      <c r="AL33" s="79">
        <v>23.2322271677284</v>
      </c>
      <c r="AM33" s="79">
        <v>0</v>
      </c>
      <c r="AN33" s="79">
        <v>167.06390575775399</v>
      </c>
      <c r="AO33" s="79">
        <v>0</v>
      </c>
      <c r="AP33" s="79">
        <v>0</v>
      </c>
      <c r="AQ33" s="79">
        <v>0</v>
      </c>
      <c r="AR33" s="79">
        <v>-1.97848087293099</v>
      </c>
      <c r="AS33" s="79">
        <v>0</v>
      </c>
      <c r="AT33" s="80">
        <v>3.7737378339996499</v>
      </c>
    </row>
    <row r="34" spans="2:46" ht="12" customHeight="1" x14ac:dyDescent="0.25">
      <c r="B34" s="78" t="s">
        <v>40</v>
      </c>
      <c r="C34" s="79" t="s">
        <v>87</v>
      </c>
      <c r="D34" s="79" t="s">
        <v>41</v>
      </c>
      <c r="E34" s="79" t="s">
        <v>91</v>
      </c>
      <c r="F34" s="79" t="s">
        <v>25</v>
      </c>
      <c r="G34" s="79" t="s">
        <v>37</v>
      </c>
      <c r="H34" s="79" t="s">
        <v>73</v>
      </c>
      <c r="I34" s="79" t="s">
        <v>25</v>
      </c>
      <c r="J34" s="79">
        <v>1006.74</v>
      </c>
      <c r="K34" s="79">
        <v>170.59</v>
      </c>
      <c r="L34" s="79">
        <v>0</v>
      </c>
      <c r="M34" s="79">
        <v>1.2655623319876601</v>
      </c>
      <c r="N34" s="79">
        <v>0</v>
      </c>
      <c r="O34" s="79">
        <v>0</v>
      </c>
      <c r="P34" s="79">
        <v>0</v>
      </c>
      <c r="Q34" s="79">
        <v>87.805709520431904</v>
      </c>
      <c r="R34" s="79">
        <v>13.8761188070534</v>
      </c>
      <c r="S34" s="79">
        <v>0</v>
      </c>
      <c r="T34" s="79">
        <v>0</v>
      </c>
      <c r="U34" s="79">
        <v>0</v>
      </c>
      <c r="V34" s="79">
        <v>0</v>
      </c>
      <c r="W34" s="79">
        <v>0</v>
      </c>
      <c r="X34" s="79">
        <v>301.37581380054502</v>
      </c>
      <c r="Y34" s="79">
        <v>0</v>
      </c>
      <c r="Z34" s="79">
        <v>0</v>
      </c>
      <c r="AA34" s="79">
        <v>602.87951228041197</v>
      </c>
      <c r="AB34" s="79">
        <v>-13.6191685637636</v>
      </c>
      <c r="AC34" s="79">
        <v>0</v>
      </c>
      <c r="AD34" s="79">
        <v>0</v>
      </c>
      <c r="AE34" s="79">
        <v>12.8635787511427</v>
      </c>
      <c r="AF34" s="79">
        <v>0.29055777716757403</v>
      </c>
      <c r="AG34" s="79">
        <v>0</v>
      </c>
      <c r="AH34" s="79">
        <v>0</v>
      </c>
      <c r="AI34" s="79">
        <v>0</v>
      </c>
      <c r="AJ34" s="79">
        <v>-17.417180962174101</v>
      </c>
      <c r="AK34" s="79">
        <v>0</v>
      </c>
      <c r="AL34" s="79">
        <v>22.737924462032101</v>
      </c>
      <c r="AM34" s="79">
        <v>0</v>
      </c>
      <c r="AN34" s="79">
        <v>163.50935457141901</v>
      </c>
      <c r="AO34" s="79">
        <v>0</v>
      </c>
      <c r="AP34" s="79">
        <v>0</v>
      </c>
      <c r="AQ34" s="79">
        <v>0</v>
      </c>
      <c r="AR34" s="79">
        <v>-1.93638553520905</v>
      </c>
      <c r="AS34" s="79">
        <v>0</v>
      </c>
      <c r="AT34" s="80">
        <v>3.6934455396592298</v>
      </c>
    </row>
    <row r="35" spans="2:46" ht="12" customHeight="1" x14ac:dyDescent="0.25">
      <c r="B35" s="78" t="s">
        <v>40</v>
      </c>
      <c r="C35" s="79" t="s">
        <v>87</v>
      </c>
      <c r="D35" s="79" t="s">
        <v>41</v>
      </c>
      <c r="E35" s="79" t="s">
        <v>91</v>
      </c>
      <c r="F35" s="79" t="s">
        <v>25</v>
      </c>
      <c r="G35" s="79" t="s">
        <v>559</v>
      </c>
      <c r="H35" s="79" t="s">
        <v>73</v>
      </c>
      <c r="I35" s="79" t="s">
        <v>25</v>
      </c>
      <c r="J35" s="79">
        <v>650.01</v>
      </c>
      <c r="K35" s="79">
        <v>170.59</v>
      </c>
      <c r="L35" s="79">
        <v>0</v>
      </c>
      <c r="M35" s="79">
        <v>1.2655623319876601</v>
      </c>
      <c r="N35" s="79">
        <v>0</v>
      </c>
      <c r="O35" s="79">
        <v>0</v>
      </c>
      <c r="P35" s="79">
        <v>0</v>
      </c>
      <c r="Q35" s="79">
        <v>87.805709520431904</v>
      </c>
      <c r="R35" s="79">
        <v>13.8761188070534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180.82720880562499</v>
      </c>
      <c r="Y35" s="79">
        <v>0</v>
      </c>
      <c r="Z35" s="79">
        <v>0</v>
      </c>
      <c r="AA35" s="79">
        <v>361.72768809530498</v>
      </c>
      <c r="AB35" s="79">
        <v>-8.6468000152641995</v>
      </c>
      <c r="AC35" s="79">
        <v>0</v>
      </c>
      <c r="AD35" s="79">
        <v>0</v>
      </c>
      <c r="AE35" s="79">
        <v>12.8635787511427</v>
      </c>
      <c r="AF35" s="79">
        <v>0.29055777716757403</v>
      </c>
      <c r="AG35" s="79">
        <v>0</v>
      </c>
      <c r="AH35" s="79">
        <v>0</v>
      </c>
      <c r="AI35" s="79">
        <v>0</v>
      </c>
      <c r="AJ35" s="79">
        <v>-17.417180962174101</v>
      </c>
      <c r="AK35" s="79">
        <v>0</v>
      </c>
      <c r="AL35" s="79">
        <v>22.737924462032101</v>
      </c>
      <c r="AM35" s="79">
        <v>0</v>
      </c>
      <c r="AN35" s="79">
        <v>163.50935457141901</v>
      </c>
      <c r="AO35" s="79">
        <v>0</v>
      </c>
      <c r="AP35" s="79">
        <v>0</v>
      </c>
      <c r="AQ35" s="79">
        <v>0</v>
      </c>
      <c r="AR35" s="79">
        <v>-1.93638553520905</v>
      </c>
      <c r="AS35" s="79">
        <v>0</v>
      </c>
      <c r="AT35" s="80">
        <v>3.6934455396592298</v>
      </c>
    </row>
    <row r="36" spans="2:46" ht="12" customHeight="1" x14ac:dyDescent="0.25">
      <c r="B36" s="78" t="s">
        <v>40</v>
      </c>
      <c r="C36" s="79" t="s">
        <v>87</v>
      </c>
      <c r="D36" s="79" t="s">
        <v>41</v>
      </c>
      <c r="E36" s="79" t="s">
        <v>91</v>
      </c>
      <c r="F36" s="79" t="s">
        <v>25</v>
      </c>
      <c r="G36" s="79" t="s">
        <v>38</v>
      </c>
      <c r="H36" s="79" t="s">
        <v>73</v>
      </c>
      <c r="I36" s="79" t="s">
        <v>25</v>
      </c>
      <c r="J36" s="79">
        <v>293.27999999999997</v>
      </c>
      <c r="K36" s="79">
        <v>170.59</v>
      </c>
      <c r="L36" s="79">
        <v>0</v>
      </c>
      <c r="M36" s="79">
        <v>1.2655623319876601</v>
      </c>
      <c r="N36" s="79">
        <v>0</v>
      </c>
      <c r="O36" s="79">
        <v>0</v>
      </c>
      <c r="P36" s="79">
        <v>0</v>
      </c>
      <c r="Q36" s="79">
        <v>87.805709520431904</v>
      </c>
      <c r="R36" s="79">
        <v>13.8761188070534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60.278603810704602</v>
      </c>
      <c r="Y36" s="79">
        <v>0</v>
      </c>
      <c r="Z36" s="79">
        <v>0</v>
      </c>
      <c r="AA36" s="79">
        <v>120.575863910198</v>
      </c>
      <c r="AB36" s="79">
        <v>-3.6744314667648199</v>
      </c>
      <c r="AC36" s="79">
        <v>0</v>
      </c>
      <c r="AD36" s="79">
        <v>0</v>
      </c>
      <c r="AE36" s="79">
        <v>12.8635787511427</v>
      </c>
      <c r="AF36" s="79">
        <v>0.29055777716757403</v>
      </c>
      <c r="AG36" s="79">
        <v>0</v>
      </c>
      <c r="AH36" s="79">
        <v>0</v>
      </c>
      <c r="AI36" s="79">
        <v>0</v>
      </c>
      <c r="AJ36" s="79">
        <v>-17.417180962174101</v>
      </c>
      <c r="AK36" s="79">
        <v>0</v>
      </c>
      <c r="AL36" s="79">
        <v>22.737924462032101</v>
      </c>
      <c r="AM36" s="79">
        <v>0</v>
      </c>
      <c r="AN36" s="79">
        <v>163.50935457141901</v>
      </c>
      <c r="AO36" s="79">
        <v>0</v>
      </c>
      <c r="AP36" s="79">
        <v>0</v>
      </c>
      <c r="AQ36" s="79">
        <v>0</v>
      </c>
      <c r="AR36" s="79">
        <v>-1.93638553520905</v>
      </c>
      <c r="AS36" s="79">
        <v>0</v>
      </c>
      <c r="AT36" s="80">
        <v>3.6934455396592298</v>
      </c>
    </row>
    <row r="37" spans="2:46" ht="12" customHeight="1" x14ac:dyDescent="0.25">
      <c r="B37" s="78" t="s">
        <v>40</v>
      </c>
      <c r="C37" s="79" t="s">
        <v>23</v>
      </c>
      <c r="D37" s="79" t="s">
        <v>41</v>
      </c>
      <c r="E37" s="79" t="s">
        <v>90</v>
      </c>
      <c r="F37" s="79" t="s">
        <v>25</v>
      </c>
      <c r="G37" s="79" t="s">
        <v>25</v>
      </c>
      <c r="H37" s="79" t="s">
        <v>73</v>
      </c>
      <c r="I37" s="79" t="s">
        <v>25</v>
      </c>
      <c r="J37" s="79">
        <v>411.35</v>
      </c>
      <c r="K37" s="79">
        <v>174.3</v>
      </c>
      <c r="L37" s="79">
        <v>0</v>
      </c>
      <c r="M37" s="79">
        <v>1.2930745565960899</v>
      </c>
      <c r="N37" s="79">
        <v>0</v>
      </c>
      <c r="O37" s="79">
        <v>0</v>
      </c>
      <c r="P37" s="79">
        <v>0</v>
      </c>
      <c r="Q37" s="79">
        <v>89.714529292615197</v>
      </c>
      <c r="R37" s="79">
        <v>14.177773563728501</v>
      </c>
      <c r="S37" s="79">
        <v>0</v>
      </c>
      <c r="T37" s="79">
        <v>0</v>
      </c>
      <c r="U37" s="79">
        <v>0</v>
      </c>
      <c r="V37" s="79">
        <v>0</v>
      </c>
      <c r="W37" s="79">
        <v>0</v>
      </c>
      <c r="X37" s="79">
        <v>99.327328047898604</v>
      </c>
      <c r="Y37" s="79">
        <v>0</v>
      </c>
      <c r="Z37" s="79">
        <v>0</v>
      </c>
      <c r="AA37" s="79">
        <v>198.70495554105199</v>
      </c>
      <c r="AB37" s="79">
        <v>-5.3111416442785799</v>
      </c>
      <c r="AC37" s="79">
        <v>0</v>
      </c>
      <c r="AD37" s="79">
        <v>0</v>
      </c>
      <c r="AE37" s="79">
        <v>13.1432217674719</v>
      </c>
      <c r="AF37" s="79">
        <v>0.29687425058425998</v>
      </c>
      <c r="AG37" s="79">
        <v>0</v>
      </c>
      <c r="AH37" s="79">
        <v>0</v>
      </c>
      <c r="AI37" s="79">
        <v>0</v>
      </c>
      <c r="AJ37" s="79">
        <v>-17.795815330917002</v>
      </c>
      <c r="AK37" s="79">
        <v>0</v>
      </c>
      <c r="AL37" s="79">
        <v>23.2322271677284</v>
      </c>
      <c r="AM37" s="79">
        <v>0</v>
      </c>
      <c r="AN37" s="79">
        <v>167.06390575775399</v>
      </c>
      <c r="AO37" s="79">
        <v>0</v>
      </c>
      <c r="AP37" s="79">
        <v>0</v>
      </c>
      <c r="AQ37" s="79">
        <v>0</v>
      </c>
      <c r="AR37" s="79">
        <v>-1.97848087293099</v>
      </c>
      <c r="AS37" s="79">
        <v>0</v>
      </c>
      <c r="AT37" s="80">
        <v>3.7737378339996499</v>
      </c>
    </row>
    <row r="38" spans="2:46" ht="12" customHeight="1" x14ac:dyDescent="0.25">
      <c r="B38" s="78" t="s">
        <v>40</v>
      </c>
      <c r="C38" s="79" t="s">
        <v>23</v>
      </c>
      <c r="D38" s="79" t="s">
        <v>41</v>
      </c>
      <c r="E38" s="79" t="s">
        <v>25</v>
      </c>
      <c r="F38" s="79" t="s">
        <v>25</v>
      </c>
      <c r="G38" s="79" t="s">
        <v>25</v>
      </c>
      <c r="H38" s="79" t="s">
        <v>73</v>
      </c>
      <c r="I38" s="79" t="s">
        <v>25</v>
      </c>
      <c r="J38" s="79">
        <v>411.35</v>
      </c>
      <c r="K38" s="79">
        <v>174.3</v>
      </c>
      <c r="L38" s="79">
        <v>0</v>
      </c>
      <c r="M38" s="79">
        <v>1.2930745565960899</v>
      </c>
      <c r="N38" s="79">
        <v>0</v>
      </c>
      <c r="O38" s="79">
        <v>0</v>
      </c>
      <c r="P38" s="79">
        <v>0</v>
      </c>
      <c r="Q38" s="79">
        <v>89.714529292615197</v>
      </c>
      <c r="R38" s="79">
        <v>14.177773563728501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99.327328047898604</v>
      </c>
      <c r="Y38" s="79">
        <v>0</v>
      </c>
      <c r="Z38" s="79">
        <v>0</v>
      </c>
      <c r="AA38" s="79">
        <v>198.70495554105199</v>
      </c>
      <c r="AB38" s="79">
        <v>-5.3111416442785799</v>
      </c>
      <c r="AC38" s="79">
        <v>0</v>
      </c>
      <c r="AD38" s="79">
        <v>0</v>
      </c>
      <c r="AE38" s="79">
        <v>13.1432217674719</v>
      </c>
      <c r="AF38" s="79">
        <v>0.29687425058425998</v>
      </c>
      <c r="AG38" s="79">
        <v>0</v>
      </c>
      <c r="AH38" s="79">
        <v>0</v>
      </c>
      <c r="AI38" s="79">
        <v>0</v>
      </c>
      <c r="AJ38" s="79">
        <v>-17.795815330917002</v>
      </c>
      <c r="AK38" s="79">
        <v>0</v>
      </c>
      <c r="AL38" s="79">
        <v>23.2322271677284</v>
      </c>
      <c r="AM38" s="79">
        <v>0</v>
      </c>
      <c r="AN38" s="79">
        <v>167.06390575775399</v>
      </c>
      <c r="AO38" s="79">
        <v>0</v>
      </c>
      <c r="AP38" s="79">
        <v>0</v>
      </c>
      <c r="AQ38" s="79">
        <v>0</v>
      </c>
      <c r="AR38" s="79">
        <v>-1.97848087293099</v>
      </c>
      <c r="AS38" s="79">
        <v>0</v>
      </c>
      <c r="AT38" s="80">
        <v>3.7737378339996499</v>
      </c>
    </row>
    <row r="39" spans="2:46" ht="12" customHeight="1" x14ac:dyDescent="0.25">
      <c r="B39" s="78" t="s">
        <v>40</v>
      </c>
      <c r="C39" s="79" t="s">
        <v>23</v>
      </c>
      <c r="D39" s="79" t="s">
        <v>41</v>
      </c>
      <c r="E39" s="79" t="s">
        <v>91</v>
      </c>
      <c r="F39" s="79" t="s">
        <v>25</v>
      </c>
      <c r="G39" s="79" t="s">
        <v>25</v>
      </c>
      <c r="H39" s="79" t="s">
        <v>73</v>
      </c>
      <c r="I39" s="79" t="s">
        <v>25</v>
      </c>
      <c r="J39" s="79">
        <v>402.59</v>
      </c>
      <c r="K39" s="79">
        <v>170.59</v>
      </c>
      <c r="L39" s="79">
        <v>0</v>
      </c>
      <c r="M39" s="79">
        <v>1.2655623319876601</v>
      </c>
      <c r="N39" s="79">
        <v>0</v>
      </c>
      <c r="O39" s="79">
        <v>0</v>
      </c>
      <c r="P39" s="79">
        <v>0</v>
      </c>
      <c r="Q39" s="79">
        <v>87.805709520431904</v>
      </c>
      <c r="R39" s="79">
        <v>13.8761188070534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97.213980642624193</v>
      </c>
      <c r="Y39" s="79">
        <v>0</v>
      </c>
      <c r="Z39" s="79">
        <v>0</v>
      </c>
      <c r="AA39" s="79">
        <v>194.47719052954</v>
      </c>
      <c r="AB39" s="79">
        <v>-5.1981386305705204</v>
      </c>
      <c r="AC39" s="79">
        <v>0</v>
      </c>
      <c r="AD39" s="79">
        <v>0</v>
      </c>
      <c r="AE39" s="79">
        <v>12.8635787511427</v>
      </c>
      <c r="AF39" s="79">
        <v>0.29055777716757403</v>
      </c>
      <c r="AG39" s="79">
        <v>0</v>
      </c>
      <c r="AH39" s="79">
        <v>0</v>
      </c>
      <c r="AI39" s="79">
        <v>0</v>
      </c>
      <c r="AJ39" s="79">
        <v>-17.417180962174101</v>
      </c>
      <c r="AK39" s="79">
        <v>0</v>
      </c>
      <c r="AL39" s="79">
        <v>22.737924462032101</v>
      </c>
      <c r="AM39" s="79">
        <v>0</v>
      </c>
      <c r="AN39" s="79">
        <v>163.50935457141901</v>
      </c>
      <c r="AO39" s="79">
        <v>0</v>
      </c>
      <c r="AP39" s="79">
        <v>0</v>
      </c>
      <c r="AQ39" s="79">
        <v>0</v>
      </c>
      <c r="AR39" s="79">
        <v>-1.93638553520905</v>
      </c>
      <c r="AS39" s="79">
        <v>0</v>
      </c>
      <c r="AT39" s="80">
        <v>3.6934455396592298</v>
      </c>
    </row>
    <row r="40" spans="2:46" ht="12" customHeight="1" x14ac:dyDescent="0.25">
      <c r="B40" s="78" t="s">
        <v>40</v>
      </c>
      <c r="C40" s="79" t="s">
        <v>89</v>
      </c>
      <c r="D40" s="79" t="s">
        <v>41</v>
      </c>
      <c r="E40" s="79" t="s">
        <v>90</v>
      </c>
      <c r="F40" s="79" t="s">
        <v>25</v>
      </c>
      <c r="G40" s="79" t="s">
        <v>25</v>
      </c>
      <c r="H40" s="79" t="s">
        <v>73</v>
      </c>
      <c r="I40" s="79" t="s">
        <v>25</v>
      </c>
      <c r="J40" s="79">
        <v>411.35</v>
      </c>
      <c r="K40" s="79">
        <v>174.3</v>
      </c>
      <c r="L40" s="79">
        <v>0</v>
      </c>
      <c r="M40" s="79">
        <v>1.2930745565960899</v>
      </c>
      <c r="N40" s="79">
        <v>0</v>
      </c>
      <c r="O40" s="79">
        <v>0</v>
      </c>
      <c r="P40" s="79">
        <v>0</v>
      </c>
      <c r="Q40" s="79">
        <v>89.714529292615197</v>
      </c>
      <c r="R40" s="79">
        <v>14.177773563728501</v>
      </c>
      <c r="S40" s="79">
        <v>0</v>
      </c>
      <c r="T40" s="79">
        <v>0</v>
      </c>
      <c r="U40" s="79">
        <v>0</v>
      </c>
      <c r="V40" s="79">
        <v>0</v>
      </c>
      <c r="W40" s="79">
        <v>0</v>
      </c>
      <c r="X40" s="79">
        <v>99.327328047898604</v>
      </c>
      <c r="Y40" s="79">
        <v>0</v>
      </c>
      <c r="Z40" s="79">
        <v>0</v>
      </c>
      <c r="AA40" s="79">
        <v>198.70495554105199</v>
      </c>
      <c r="AB40" s="79">
        <v>-5.3111416442785799</v>
      </c>
      <c r="AC40" s="79">
        <v>0</v>
      </c>
      <c r="AD40" s="79">
        <v>0</v>
      </c>
      <c r="AE40" s="79">
        <v>13.1432217674719</v>
      </c>
      <c r="AF40" s="79">
        <v>0.29687425058425998</v>
      </c>
      <c r="AG40" s="79">
        <v>0</v>
      </c>
      <c r="AH40" s="79">
        <v>0</v>
      </c>
      <c r="AI40" s="79">
        <v>0</v>
      </c>
      <c r="AJ40" s="79">
        <v>-17.795815330917002</v>
      </c>
      <c r="AK40" s="79">
        <v>0</v>
      </c>
      <c r="AL40" s="79">
        <v>23.2322271677284</v>
      </c>
      <c r="AM40" s="79">
        <v>0</v>
      </c>
      <c r="AN40" s="79">
        <v>167.06390575775399</v>
      </c>
      <c r="AO40" s="79">
        <v>0</v>
      </c>
      <c r="AP40" s="79">
        <v>0</v>
      </c>
      <c r="AQ40" s="79">
        <v>0</v>
      </c>
      <c r="AR40" s="79">
        <v>-1.97848087293099</v>
      </c>
      <c r="AS40" s="79">
        <v>0</v>
      </c>
      <c r="AT40" s="80">
        <v>3.7737378339996499</v>
      </c>
    </row>
    <row r="41" spans="2:46" ht="12" customHeight="1" x14ac:dyDescent="0.25">
      <c r="B41" s="78" t="s">
        <v>40</v>
      </c>
      <c r="C41" s="79" t="s">
        <v>89</v>
      </c>
      <c r="D41" s="79" t="s">
        <v>41</v>
      </c>
      <c r="E41" s="79" t="s">
        <v>25</v>
      </c>
      <c r="F41" s="79" t="s">
        <v>25</v>
      </c>
      <c r="G41" s="79" t="s">
        <v>25</v>
      </c>
      <c r="H41" s="79" t="s">
        <v>73</v>
      </c>
      <c r="I41" s="79" t="s">
        <v>25</v>
      </c>
      <c r="J41" s="79">
        <v>411.35</v>
      </c>
      <c r="K41" s="79">
        <v>174.3</v>
      </c>
      <c r="L41" s="79">
        <v>0</v>
      </c>
      <c r="M41" s="79">
        <v>1.2930745565960899</v>
      </c>
      <c r="N41" s="79">
        <v>0</v>
      </c>
      <c r="O41" s="79">
        <v>0</v>
      </c>
      <c r="P41" s="79">
        <v>0</v>
      </c>
      <c r="Q41" s="79">
        <v>89.714529292615197</v>
      </c>
      <c r="R41" s="79">
        <v>14.177773563728501</v>
      </c>
      <c r="S41" s="79">
        <v>0</v>
      </c>
      <c r="T41" s="79">
        <v>0</v>
      </c>
      <c r="U41" s="79">
        <v>0</v>
      </c>
      <c r="V41" s="79">
        <v>0</v>
      </c>
      <c r="W41" s="79">
        <v>0</v>
      </c>
      <c r="X41" s="79">
        <v>99.327328047898604</v>
      </c>
      <c r="Y41" s="79">
        <v>0</v>
      </c>
      <c r="Z41" s="79">
        <v>0</v>
      </c>
      <c r="AA41" s="79">
        <v>198.70495554105199</v>
      </c>
      <c r="AB41" s="79">
        <v>-5.3111416442785799</v>
      </c>
      <c r="AC41" s="79">
        <v>0</v>
      </c>
      <c r="AD41" s="79">
        <v>0</v>
      </c>
      <c r="AE41" s="79">
        <v>13.1432217674719</v>
      </c>
      <c r="AF41" s="79">
        <v>0.29687425058425998</v>
      </c>
      <c r="AG41" s="79">
        <v>0</v>
      </c>
      <c r="AH41" s="79">
        <v>0</v>
      </c>
      <c r="AI41" s="79">
        <v>0</v>
      </c>
      <c r="AJ41" s="79">
        <v>-17.795815330917002</v>
      </c>
      <c r="AK41" s="79">
        <v>0</v>
      </c>
      <c r="AL41" s="79">
        <v>23.2322271677284</v>
      </c>
      <c r="AM41" s="79">
        <v>0</v>
      </c>
      <c r="AN41" s="79">
        <v>167.06390575775399</v>
      </c>
      <c r="AO41" s="79">
        <v>0</v>
      </c>
      <c r="AP41" s="79">
        <v>0</v>
      </c>
      <c r="AQ41" s="79">
        <v>0</v>
      </c>
      <c r="AR41" s="79">
        <v>-1.97848087293099</v>
      </c>
      <c r="AS41" s="79">
        <v>0</v>
      </c>
      <c r="AT41" s="80">
        <v>3.7737378339996499</v>
      </c>
    </row>
    <row r="42" spans="2:46" ht="12" customHeight="1" x14ac:dyDescent="0.25">
      <c r="B42" s="78" t="s">
        <v>40</v>
      </c>
      <c r="C42" s="79" t="s">
        <v>89</v>
      </c>
      <c r="D42" s="79" t="s">
        <v>41</v>
      </c>
      <c r="E42" s="79" t="s">
        <v>91</v>
      </c>
      <c r="F42" s="79" t="s">
        <v>25</v>
      </c>
      <c r="G42" s="79" t="s">
        <v>25</v>
      </c>
      <c r="H42" s="79" t="s">
        <v>73</v>
      </c>
      <c r="I42" s="79" t="s">
        <v>25</v>
      </c>
      <c r="J42" s="79">
        <v>402.59</v>
      </c>
      <c r="K42" s="79">
        <v>170.59</v>
      </c>
      <c r="L42" s="79">
        <v>0</v>
      </c>
      <c r="M42" s="79">
        <v>1.2655623319876601</v>
      </c>
      <c r="N42" s="79">
        <v>0</v>
      </c>
      <c r="O42" s="79">
        <v>0</v>
      </c>
      <c r="P42" s="79">
        <v>0</v>
      </c>
      <c r="Q42" s="79">
        <v>87.805709520431904</v>
      </c>
      <c r="R42" s="79">
        <v>13.8761188070534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  <c r="X42" s="79">
        <v>97.213980642624193</v>
      </c>
      <c r="Y42" s="79">
        <v>0</v>
      </c>
      <c r="Z42" s="79">
        <v>0</v>
      </c>
      <c r="AA42" s="79">
        <v>194.47719052954</v>
      </c>
      <c r="AB42" s="79">
        <v>-5.1981386305705204</v>
      </c>
      <c r="AC42" s="79">
        <v>0</v>
      </c>
      <c r="AD42" s="79">
        <v>0</v>
      </c>
      <c r="AE42" s="79">
        <v>12.8635787511427</v>
      </c>
      <c r="AF42" s="79">
        <v>0.29055777716757403</v>
      </c>
      <c r="AG42" s="79">
        <v>0</v>
      </c>
      <c r="AH42" s="79">
        <v>0</v>
      </c>
      <c r="AI42" s="79">
        <v>0</v>
      </c>
      <c r="AJ42" s="79">
        <v>-17.417180962174101</v>
      </c>
      <c r="AK42" s="79">
        <v>0</v>
      </c>
      <c r="AL42" s="79">
        <v>22.737924462032101</v>
      </c>
      <c r="AM42" s="79">
        <v>0</v>
      </c>
      <c r="AN42" s="79">
        <v>163.50935457141901</v>
      </c>
      <c r="AO42" s="79">
        <v>0</v>
      </c>
      <c r="AP42" s="79">
        <v>0</v>
      </c>
      <c r="AQ42" s="79">
        <v>0</v>
      </c>
      <c r="AR42" s="79">
        <v>-1.93638553520905</v>
      </c>
      <c r="AS42" s="79">
        <v>0</v>
      </c>
      <c r="AT42" s="80">
        <v>3.6934455396592298</v>
      </c>
    </row>
    <row r="43" spans="2:46" ht="12" customHeight="1" x14ac:dyDescent="0.25">
      <c r="B43" s="78" t="s">
        <v>33</v>
      </c>
      <c r="C43" s="79" t="s">
        <v>87</v>
      </c>
      <c r="D43" s="79" t="s">
        <v>25</v>
      </c>
      <c r="E43" s="79" t="s">
        <v>25</v>
      </c>
      <c r="F43" s="79" t="s">
        <v>25</v>
      </c>
      <c r="G43" s="79" t="s">
        <v>37</v>
      </c>
      <c r="H43" s="79" t="s">
        <v>73</v>
      </c>
      <c r="I43" s="79" t="s">
        <v>25</v>
      </c>
      <c r="J43" s="79">
        <v>1125.54</v>
      </c>
      <c r="K43" s="79">
        <v>185.42</v>
      </c>
      <c r="L43" s="79">
        <v>0</v>
      </c>
      <c r="M43" s="79">
        <v>1.3756112304213699</v>
      </c>
      <c r="N43" s="79">
        <v>0</v>
      </c>
      <c r="O43" s="79">
        <v>0</v>
      </c>
      <c r="P43" s="79">
        <v>0</v>
      </c>
      <c r="Q43" s="79">
        <v>95.440988609165103</v>
      </c>
      <c r="R43" s="79">
        <v>15.082737833753701</v>
      </c>
      <c r="S43" s="79">
        <v>0</v>
      </c>
      <c r="T43" s="79">
        <v>0</v>
      </c>
      <c r="U43" s="79">
        <v>0</v>
      </c>
      <c r="V43" s="79">
        <v>0</v>
      </c>
      <c r="W43" s="79">
        <v>0</v>
      </c>
      <c r="X43" s="79">
        <v>338.14400045678002</v>
      </c>
      <c r="Y43" s="79">
        <v>0</v>
      </c>
      <c r="Z43" s="79">
        <v>0</v>
      </c>
      <c r="AA43" s="79">
        <v>676.44256943268203</v>
      </c>
      <c r="AB43" s="79">
        <v>-15.239245019885701</v>
      </c>
      <c r="AC43" s="79">
        <v>0</v>
      </c>
      <c r="AD43" s="79">
        <v>0</v>
      </c>
      <c r="AE43" s="79">
        <v>13.9821508164595</v>
      </c>
      <c r="AF43" s="79">
        <v>0.315823670834319</v>
      </c>
      <c r="AG43" s="79">
        <v>0</v>
      </c>
      <c r="AH43" s="79">
        <v>0</v>
      </c>
      <c r="AI43" s="79">
        <v>0</v>
      </c>
      <c r="AJ43" s="79">
        <v>-18.931718437145701</v>
      </c>
      <c r="AK43" s="79">
        <v>0</v>
      </c>
      <c r="AL43" s="79">
        <v>24.715135284817499</v>
      </c>
      <c r="AM43" s="79">
        <v>0</v>
      </c>
      <c r="AN43" s="79">
        <v>177.72755931675999</v>
      </c>
      <c r="AO43" s="79">
        <v>0</v>
      </c>
      <c r="AP43" s="79">
        <v>0</v>
      </c>
      <c r="AQ43" s="79">
        <v>0</v>
      </c>
      <c r="AR43" s="79">
        <v>-2.1047668860967899</v>
      </c>
      <c r="AS43" s="79">
        <v>0</v>
      </c>
      <c r="AT43" s="80">
        <v>4.0146147170209003</v>
      </c>
    </row>
    <row r="44" spans="2:46" ht="12" customHeight="1" x14ac:dyDescent="0.25">
      <c r="B44" s="78" t="s">
        <v>33</v>
      </c>
      <c r="C44" s="79" t="s">
        <v>87</v>
      </c>
      <c r="D44" s="79" t="s">
        <v>25</v>
      </c>
      <c r="E44" s="79" t="s">
        <v>25</v>
      </c>
      <c r="F44" s="79" t="s">
        <v>25</v>
      </c>
      <c r="G44" s="79" t="s">
        <v>559</v>
      </c>
      <c r="H44" s="79" t="s">
        <v>73</v>
      </c>
      <c r="I44" s="79" t="s">
        <v>25</v>
      </c>
      <c r="J44" s="79">
        <v>725.29</v>
      </c>
      <c r="K44" s="79">
        <v>185.42</v>
      </c>
      <c r="L44" s="79">
        <v>0</v>
      </c>
      <c r="M44" s="79">
        <v>1.3756112304213699</v>
      </c>
      <c r="N44" s="79">
        <v>0</v>
      </c>
      <c r="O44" s="79">
        <v>0</v>
      </c>
      <c r="P44" s="79">
        <v>0</v>
      </c>
      <c r="Q44" s="79">
        <v>95.440988609165103</v>
      </c>
      <c r="R44" s="79">
        <v>15.082737833753701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202.891075614551</v>
      </c>
      <c r="Y44" s="79">
        <v>0</v>
      </c>
      <c r="Z44" s="79">
        <v>0</v>
      </c>
      <c r="AA44" s="79">
        <v>405.86554165960899</v>
      </c>
      <c r="AB44" s="79">
        <v>-9.6602099437370406</v>
      </c>
      <c r="AC44" s="79">
        <v>0</v>
      </c>
      <c r="AD44" s="79">
        <v>0</v>
      </c>
      <c r="AE44" s="79">
        <v>13.9821508164595</v>
      </c>
      <c r="AF44" s="79">
        <v>0.315823670834319</v>
      </c>
      <c r="AG44" s="79">
        <v>0</v>
      </c>
      <c r="AH44" s="79">
        <v>0</v>
      </c>
      <c r="AI44" s="79">
        <v>0</v>
      </c>
      <c r="AJ44" s="79">
        <v>-18.931718437145701</v>
      </c>
      <c r="AK44" s="79">
        <v>0</v>
      </c>
      <c r="AL44" s="79">
        <v>24.715135284817499</v>
      </c>
      <c r="AM44" s="79">
        <v>0</v>
      </c>
      <c r="AN44" s="79">
        <v>177.72755931675999</v>
      </c>
      <c r="AO44" s="79">
        <v>0</v>
      </c>
      <c r="AP44" s="79">
        <v>0</v>
      </c>
      <c r="AQ44" s="79">
        <v>0</v>
      </c>
      <c r="AR44" s="79">
        <v>-2.1047668860967899</v>
      </c>
      <c r="AS44" s="79">
        <v>0</v>
      </c>
      <c r="AT44" s="80">
        <v>4.0146147170209003</v>
      </c>
    </row>
    <row r="45" spans="2:46" ht="12" customHeight="1" x14ac:dyDescent="0.25">
      <c r="B45" s="78" t="s">
        <v>33</v>
      </c>
      <c r="C45" s="79" t="s">
        <v>87</v>
      </c>
      <c r="D45" s="79" t="s">
        <v>25</v>
      </c>
      <c r="E45" s="79" t="s">
        <v>25</v>
      </c>
      <c r="F45" s="79" t="s">
        <v>25</v>
      </c>
      <c r="G45" s="79" t="s">
        <v>38</v>
      </c>
      <c r="H45" s="79" t="s">
        <v>73</v>
      </c>
      <c r="I45" s="79" t="s">
        <v>25</v>
      </c>
      <c r="J45" s="79">
        <v>325.02999999999997</v>
      </c>
      <c r="K45" s="79">
        <v>185.42</v>
      </c>
      <c r="L45" s="79">
        <v>0</v>
      </c>
      <c r="M45" s="79">
        <v>1.3756112304213699</v>
      </c>
      <c r="N45" s="79">
        <v>0</v>
      </c>
      <c r="O45" s="79">
        <v>0</v>
      </c>
      <c r="P45" s="79">
        <v>0</v>
      </c>
      <c r="Q45" s="79">
        <v>95.440988609165103</v>
      </c>
      <c r="R45" s="79">
        <v>15.082737833753701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67.628800091355998</v>
      </c>
      <c r="Y45" s="79">
        <v>0</v>
      </c>
      <c r="Z45" s="79">
        <v>0</v>
      </c>
      <c r="AA45" s="79">
        <v>135.28851388653601</v>
      </c>
      <c r="AB45" s="79">
        <v>-4.0810634994450998</v>
      </c>
      <c r="AC45" s="79">
        <v>0</v>
      </c>
      <c r="AD45" s="79">
        <v>0</v>
      </c>
      <c r="AE45" s="79">
        <v>13.9821508164595</v>
      </c>
      <c r="AF45" s="79">
        <v>0.315823670834319</v>
      </c>
      <c r="AG45" s="79">
        <v>0</v>
      </c>
      <c r="AH45" s="79">
        <v>0</v>
      </c>
      <c r="AI45" s="79">
        <v>0</v>
      </c>
      <c r="AJ45" s="79">
        <v>-18.931718437145701</v>
      </c>
      <c r="AK45" s="79">
        <v>0</v>
      </c>
      <c r="AL45" s="79">
        <v>24.715135284817499</v>
      </c>
      <c r="AM45" s="79">
        <v>0</v>
      </c>
      <c r="AN45" s="79">
        <v>177.72755931675999</v>
      </c>
      <c r="AO45" s="79">
        <v>0</v>
      </c>
      <c r="AP45" s="79">
        <v>0</v>
      </c>
      <c r="AQ45" s="79">
        <v>0</v>
      </c>
      <c r="AR45" s="79">
        <v>-2.1047668860967899</v>
      </c>
      <c r="AS45" s="79">
        <v>0</v>
      </c>
      <c r="AT45" s="80">
        <v>4.0146147170209003</v>
      </c>
    </row>
    <row r="46" spans="2:46" ht="12" customHeight="1" x14ac:dyDescent="0.25">
      <c r="B46" s="78" t="s">
        <v>33</v>
      </c>
      <c r="C46" s="79" t="s">
        <v>23</v>
      </c>
      <c r="D46" s="79" t="s">
        <v>25</v>
      </c>
      <c r="E46" s="79" t="s">
        <v>25</v>
      </c>
      <c r="F46" s="79" t="s">
        <v>25</v>
      </c>
      <c r="G46" s="79" t="s">
        <v>25</v>
      </c>
      <c r="H46" s="79" t="s">
        <v>73</v>
      </c>
      <c r="I46" s="79" t="s">
        <v>25</v>
      </c>
      <c r="J46" s="79">
        <v>437.6</v>
      </c>
      <c r="K46" s="79">
        <v>185.42</v>
      </c>
      <c r="L46" s="79">
        <v>0</v>
      </c>
      <c r="M46" s="79">
        <v>1.3756112304213699</v>
      </c>
      <c r="N46" s="79">
        <v>0</v>
      </c>
      <c r="O46" s="79">
        <v>0</v>
      </c>
      <c r="P46" s="79">
        <v>0</v>
      </c>
      <c r="Q46" s="79">
        <v>95.440988609165103</v>
      </c>
      <c r="R46" s="79">
        <v>15.082737833753701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105.66737026372201</v>
      </c>
      <c r="Y46" s="79">
        <v>0</v>
      </c>
      <c r="Z46" s="79">
        <v>0</v>
      </c>
      <c r="AA46" s="79">
        <v>211.38825057558699</v>
      </c>
      <c r="AB46" s="79">
        <v>-5.6501506854027399</v>
      </c>
      <c r="AC46" s="79">
        <v>0</v>
      </c>
      <c r="AD46" s="79">
        <v>0</v>
      </c>
      <c r="AE46" s="79">
        <v>13.9821508164595</v>
      </c>
      <c r="AF46" s="79">
        <v>0.315823670834319</v>
      </c>
      <c r="AG46" s="79">
        <v>0</v>
      </c>
      <c r="AH46" s="79">
        <v>0</v>
      </c>
      <c r="AI46" s="79">
        <v>0</v>
      </c>
      <c r="AJ46" s="79">
        <v>-18.931718437145701</v>
      </c>
      <c r="AK46" s="79">
        <v>0</v>
      </c>
      <c r="AL46" s="79">
        <v>24.715135284817499</v>
      </c>
      <c r="AM46" s="79">
        <v>0</v>
      </c>
      <c r="AN46" s="79">
        <v>177.72755931675999</v>
      </c>
      <c r="AO46" s="79">
        <v>0</v>
      </c>
      <c r="AP46" s="79">
        <v>0</v>
      </c>
      <c r="AQ46" s="79">
        <v>0</v>
      </c>
      <c r="AR46" s="79">
        <v>-2.1047668860967899</v>
      </c>
      <c r="AS46" s="79">
        <v>0</v>
      </c>
      <c r="AT46" s="80">
        <v>4.0146147170209003</v>
      </c>
    </row>
    <row r="47" spans="2:46" ht="12" customHeight="1" x14ac:dyDescent="0.25">
      <c r="B47" s="78" t="s">
        <v>33</v>
      </c>
      <c r="C47" s="79" t="s">
        <v>89</v>
      </c>
      <c r="D47" s="79" t="s">
        <v>25</v>
      </c>
      <c r="E47" s="79" t="s">
        <v>25</v>
      </c>
      <c r="F47" s="79" t="s">
        <v>25</v>
      </c>
      <c r="G47" s="79" t="s">
        <v>25</v>
      </c>
      <c r="H47" s="79" t="s">
        <v>73</v>
      </c>
      <c r="I47" s="79" t="s">
        <v>25</v>
      </c>
      <c r="J47" s="79">
        <v>437.6</v>
      </c>
      <c r="K47" s="79">
        <v>185.42</v>
      </c>
      <c r="L47" s="79">
        <v>0</v>
      </c>
      <c r="M47" s="79">
        <v>1.3756112304213699</v>
      </c>
      <c r="N47" s="79">
        <v>0</v>
      </c>
      <c r="O47" s="79">
        <v>0</v>
      </c>
      <c r="P47" s="79">
        <v>0</v>
      </c>
      <c r="Q47" s="79">
        <v>95.440988609165103</v>
      </c>
      <c r="R47" s="79">
        <v>15.082737833753701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105.66737026372201</v>
      </c>
      <c r="Y47" s="79">
        <v>0</v>
      </c>
      <c r="Z47" s="79">
        <v>0</v>
      </c>
      <c r="AA47" s="79">
        <v>211.38825057558699</v>
      </c>
      <c r="AB47" s="79">
        <v>-5.6501506854027399</v>
      </c>
      <c r="AC47" s="79">
        <v>0</v>
      </c>
      <c r="AD47" s="79">
        <v>0</v>
      </c>
      <c r="AE47" s="79">
        <v>13.9821508164595</v>
      </c>
      <c r="AF47" s="79">
        <v>0.315823670834319</v>
      </c>
      <c r="AG47" s="79">
        <v>0</v>
      </c>
      <c r="AH47" s="79">
        <v>0</v>
      </c>
      <c r="AI47" s="79">
        <v>0</v>
      </c>
      <c r="AJ47" s="79">
        <v>-18.931718437145701</v>
      </c>
      <c r="AK47" s="79">
        <v>0</v>
      </c>
      <c r="AL47" s="79">
        <v>24.715135284817499</v>
      </c>
      <c r="AM47" s="79">
        <v>0</v>
      </c>
      <c r="AN47" s="79">
        <v>177.72755931675999</v>
      </c>
      <c r="AO47" s="79">
        <v>0</v>
      </c>
      <c r="AP47" s="79">
        <v>0</v>
      </c>
      <c r="AQ47" s="79">
        <v>0</v>
      </c>
      <c r="AR47" s="79">
        <v>-2.1047668860967899</v>
      </c>
      <c r="AS47" s="79">
        <v>0</v>
      </c>
      <c r="AT47" s="80">
        <v>4.0146147170209003</v>
      </c>
    </row>
    <row r="48" spans="2:46" ht="12" customHeight="1" x14ac:dyDescent="0.25">
      <c r="B48" s="78" t="s">
        <v>43</v>
      </c>
      <c r="C48" s="79" t="s">
        <v>23</v>
      </c>
      <c r="D48" s="79" t="s">
        <v>44</v>
      </c>
      <c r="E48" s="79" t="s">
        <v>45</v>
      </c>
      <c r="F48" s="79" t="s">
        <v>25</v>
      </c>
      <c r="G48" s="79" t="s">
        <v>25</v>
      </c>
      <c r="H48" s="79" t="s">
        <v>73</v>
      </c>
      <c r="I48" s="79" t="s">
        <v>25</v>
      </c>
      <c r="J48" s="79">
        <v>240.68</v>
      </c>
      <c r="K48" s="79">
        <v>101.98</v>
      </c>
      <c r="L48" s="79">
        <v>0</v>
      </c>
      <c r="M48" s="79">
        <v>0.75658617673175299</v>
      </c>
      <c r="N48" s="79">
        <v>0</v>
      </c>
      <c r="O48" s="79">
        <v>0</v>
      </c>
      <c r="P48" s="79">
        <v>0</v>
      </c>
      <c r="Q48" s="79">
        <v>52.492543735040798</v>
      </c>
      <c r="R48" s="79">
        <v>8.2955058085645401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58.1170536450471</v>
      </c>
      <c r="Y48" s="79">
        <v>0</v>
      </c>
      <c r="Z48" s="79">
        <v>0</v>
      </c>
      <c r="AA48" s="79">
        <v>116.26353781657301</v>
      </c>
      <c r="AB48" s="79">
        <v>-3.1075828769715099</v>
      </c>
      <c r="AC48" s="79">
        <v>0</v>
      </c>
      <c r="AD48" s="79">
        <v>0</v>
      </c>
      <c r="AE48" s="79">
        <v>7.6901829490527298</v>
      </c>
      <c r="AF48" s="79">
        <v>0.17370301895887499</v>
      </c>
      <c r="AG48" s="79">
        <v>0</v>
      </c>
      <c r="AH48" s="79">
        <v>0</v>
      </c>
      <c r="AI48" s="79">
        <v>0</v>
      </c>
      <c r="AJ48" s="79">
        <v>-10.412445140430099</v>
      </c>
      <c r="AK48" s="79">
        <v>0</v>
      </c>
      <c r="AL48" s="79">
        <v>13.5933244066496</v>
      </c>
      <c r="AM48" s="79">
        <v>0</v>
      </c>
      <c r="AN48" s="79">
        <v>97.750157624217806</v>
      </c>
      <c r="AO48" s="79">
        <v>0</v>
      </c>
      <c r="AP48" s="79">
        <v>0</v>
      </c>
      <c r="AQ48" s="79">
        <v>0</v>
      </c>
      <c r="AR48" s="79">
        <v>-1.15762178735324</v>
      </c>
      <c r="AS48" s="79">
        <v>0</v>
      </c>
      <c r="AT48" s="80">
        <v>2.2080380943615001</v>
      </c>
    </row>
    <row r="49" spans="2:46" ht="12" customHeight="1" x14ac:dyDescent="0.25">
      <c r="B49" s="81" t="s">
        <v>43</v>
      </c>
      <c r="C49" s="82" t="s">
        <v>23</v>
      </c>
      <c r="D49" s="82" t="s">
        <v>44</v>
      </c>
      <c r="E49" s="82" t="s">
        <v>46</v>
      </c>
      <c r="F49" s="82" t="s">
        <v>25</v>
      </c>
      <c r="G49" s="82" t="s">
        <v>25</v>
      </c>
      <c r="H49" s="82" t="s">
        <v>73</v>
      </c>
      <c r="I49" s="82" t="s">
        <v>25</v>
      </c>
      <c r="J49" s="82">
        <v>262.56</v>
      </c>
      <c r="K49" s="82">
        <v>111.25</v>
      </c>
      <c r="L49" s="82">
        <v>0</v>
      </c>
      <c r="M49" s="82">
        <v>0.82536673825282203</v>
      </c>
      <c r="N49" s="82">
        <v>0</v>
      </c>
      <c r="O49" s="82">
        <v>0</v>
      </c>
      <c r="P49" s="82">
        <v>0</v>
      </c>
      <c r="Q49" s="82">
        <v>57.2645931654991</v>
      </c>
      <c r="R49" s="82">
        <v>9.0496427002522299</v>
      </c>
      <c r="S49" s="82">
        <v>0</v>
      </c>
      <c r="T49" s="82">
        <v>0</v>
      </c>
      <c r="U49" s="82">
        <v>0</v>
      </c>
      <c r="V49" s="82">
        <v>0</v>
      </c>
      <c r="W49" s="82">
        <v>0</v>
      </c>
      <c r="X49" s="82">
        <v>63.400422158233198</v>
      </c>
      <c r="Y49" s="82">
        <v>0</v>
      </c>
      <c r="Z49" s="82">
        <v>0</v>
      </c>
      <c r="AA49" s="82">
        <v>126.832950345352</v>
      </c>
      <c r="AB49" s="82">
        <v>-3.3900904112416499</v>
      </c>
      <c r="AC49" s="82">
        <v>0</v>
      </c>
      <c r="AD49" s="82">
        <v>0</v>
      </c>
      <c r="AE49" s="82">
        <v>8.3892904898756999</v>
      </c>
      <c r="AF49" s="82">
        <v>0.18949420250059101</v>
      </c>
      <c r="AG49" s="82">
        <v>0</v>
      </c>
      <c r="AH49" s="82">
        <v>0</v>
      </c>
      <c r="AI49" s="82">
        <v>0</v>
      </c>
      <c r="AJ49" s="82">
        <v>-11.3590310622874</v>
      </c>
      <c r="AK49" s="82">
        <v>0</v>
      </c>
      <c r="AL49" s="82">
        <v>14.8290811708905</v>
      </c>
      <c r="AM49" s="82">
        <v>0</v>
      </c>
      <c r="AN49" s="82">
        <v>106.636535590056</v>
      </c>
      <c r="AO49" s="82">
        <v>0</v>
      </c>
      <c r="AP49" s="82">
        <v>0</v>
      </c>
      <c r="AQ49" s="82">
        <v>0</v>
      </c>
      <c r="AR49" s="82">
        <v>-1.2628601316580801</v>
      </c>
      <c r="AS49" s="82">
        <v>0</v>
      </c>
      <c r="AT49" s="83">
        <v>2.4087688302125398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E265-E721-47D0-9BB7-D124FE421DC5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1088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1" t="s">
        <v>412</v>
      </c>
      <c r="M2" s="121"/>
      <c r="N2" s="121"/>
      <c r="O2" s="121"/>
      <c r="P2" s="121"/>
      <c r="Q2" s="121"/>
      <c r="R2" s="121"/>
      <c r="S2" s="122"/>
      <c r="T2" s="121" t="s">
        <v>421</v>
      </c>
      <c r="U2" s="121"/>
      <c r="V2" s="121"/>
      <c r="W2" s="121"/>
      <c r="X2" s="121"/>
      <c r="Y2" s="121"/>
      <c r="Z2" s="122"/>
      <c r="AA2" s="85" t="s">
        <v>429</v>
      </c>
      <c r="AB2" s="121" t="s">
        <v>25</v>
      </c>
      <c r="AC2" s="121"/>
      <c r="AD2" s="122"/>
      <c r="AE2" s="121" t="s">
        <v>1087</v>
      </c>
      <c r="AF2" s="121"/>
      <c r="AG2" s="121"/>
      <c r="AH2" s="122"/>
      <c r="AI2" s="121" t="s">
        <v>412</v>
      </c>
      <c r="AJ2" s="121"/>
      <c r="AK2" s="121"/>
      <c r="AL2" s="121"/>
      <c r="AM2" s="122"/>
      <c r="AN2" s="85" t="s">
        <v>443</v>
      </c>
      <c r="AO2" s="121" t="s">
        <v>421</v>
      </c>
      <c r="AP2" s="121"/>
      <c r="AQ2" s="121"/>
      <c r="AR2" s="121"/>
      <c r="AS2" s="122"/>
      <c r="AT2" s="84" t="s">
        <v>1087</v>
      </c>
    </row>
    <row r="3" spans="2:46" ht="12" customHeight="1" x14ac:dyDescent="0.25">
      <c r="B3" s="75" t="s">
        <v>63</v>
      </c>
      <c r="C3" s="76" t="s">
        <v>64</v>
      </c>
      <c r="D3" s="76" t="s">
        <v>65</v>
      </c>
      <c r="E3" s="76" t="s">
        <v>66</v>
      </c>
      <c r="F3" s="76" t="s">
        <v>67</v>
      </c>
      <c r="G3" s="76" t="s">
        <v>69</v>
      </c>
      <c r="H3" s="76" t="s">
        <v>70</v>
      </c>
      <c r="I3" s="76" t="s">
        <v>690</v>
      </c>
      <c r="J3" s="76" t="s">
        <v>1049</v>
      </c>
      <c r="K3" s="76" t="s">
        <v>1050</v>
      </c>
      <c r="L3" s="76" t="s">
        <v>1051</v>
      </c>
      <c r="M3" s="76" t="s">
        <v>1052</v>
      </c>
      <c r="N3" s="76" t="s">
        <v>1053</v>
      </c>
      <c r="O3" s="76" t="s">
        <v>1054</v>
      </c>
      <c r="P3" s="76" t="s">
        <v>1055</v>
      </c>
      <c r="Q3" s="76" t="s">
        <v>1056</v>
      </c>
      <c r="R3" s="76" t="s">
        <v>1057</v>
      </c>
      <c r="S3" s="76" t="s">
        <v>1058</v>
      </c>
      <c r="T3" s="76" t="s">
        <v>1059</v>
      </c>
      <c r="U3" s="76" t="s">
        <v>1060</v>
      </c>
      <c r="V3" s="76" t="s">
        <v>1061</v>
      </c>
      <c r="W3" s="76" t="s">
        <v>1062</v>
      </c>
      <c r="X3" s="76" t="s">
        <v>1063</v>
      </c>
      <c r="Y3" s="76" t="s">
        <v>1064</v>
      </c>
      <c r="Z3" s="76" t="s">
        <v>1065</v>
      </c>
      <c r="AA3" s="76" t="s">
        <v>1066</v>
      </c>
      <c r="AB3" s="76" t="s">
        <v>1067</v>
      </c>
      <c r="AC3" s="76" t="s">
        <v>1068</v>
      </c>
      <c r="AD3" s="76" t="s">
        <v>1069</v>
      </c>
      <c r="AE3" s="76" t="s">
        <v>1070</v>
      </c>
      <c r="AF3" s="76" t="s">
        <v>1071</v>
      </c>
      <c r="AG3" s="76" t="s">
        <v>1072</v>
      </c>
      <c r="AH3" s="76" t="s">
        <v>1073</v>
      </c>
      <c r="AI3" s="76" t="s">
        <v>1074</v>
      </c>
      <c r="AJ3" s="76" t="s">
        <v>1075</v>
      </c>
      <c r="AK3" s="76" t="s">
        <v>1076</v>
      </c>
      <c r="AL3" s="76" t="s">
        <v>1077</v>
      </c>
      <c r="AM3" s="76" t="s">
        <v>1078</v>
      </c>
      <c r="AN3" s="76" t="s">
        <v>1079</v>
      </c>
      <c r="AO3" s="76" t="s">
        <v>1080</v>
      </c>
      <c r="AP3" s="76" t="s">
        <v>1081</v>
      </c>
      <c r="AQ3" s="76" t="s">
        <v>1082</v>
      </c>
      <c r="AR3" s="76" t="s">
        <v>1083</v>
      </c>
      <c r="AS3" s="76" t="s">
        <v>1084</v>
      </c>
      <c r="AT3" s="77" t="s">
        <v>1085</v>
      </c>
    </row>
    <row r="4" spans="2:46" ht="12" customHeight="1" x14ac:dyDescent="0.25">
      <c r="B4" s="78" t="s">
        <v>35</v>
      </c>
      <c r="C4" s="79" t="s">
        <v>54</v>
      </c>
      <c r="D4" s="79" t="s">
        <v>25</v>
      </c>
      <c r="E4" s="79" t="s">
        <v>25</v>
      </c>
      <c r="F4" s="79" t="s">
        <v>80</v>
      </c>
      <c r="G4" s="79" t="s">
        <v>37</v>
      </c>
      <c r="H4" s="79" t="s">
        <v>73</v>
      </c>
      <c r="I4" s="79" t="s">
        <v>25</v>
      </c>
      <c r="J4" s="79">
        <v>6.16</v>
      </c>
      <c r="K4" s="79">
        <v>0</v>
      </c>
      <c r="L4" s="79">
        <v>0</v>
      </c>
      <c r="M4" s="79">
        <v>0.85481701863222104</v>
      </c>
      <c r="N4" s="79">
        <v>0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X4" s="79">
        <v>0</v>
      </c>
      <c r="Y4" s="79">
        <v>0</v>
      </c>
      <c r="Z4" s="79">
        <v>0</v>
      </c>
      <c r="AA4" s="79">
        <v>0</v>
      </c>
      <c r="AB4" s="79">
        <v>0</v>
      </c>
      <c r="AC4" s="79">
        <v>0</v>
      </c>
      <c r="AD4" s="79">
        <v>0</v>
      </c>
      <c r="AE4" s="79">
        <v>5.1884053948062796</v>
      </c>
      <c r="AF4" s="79">
        <v>0.11720913002410099</v>
      </c>
      <c r="AG4" s="79">
        <v>0</v>
      </c>
      <c r="AH4" s="79">
        <v>0</v>
      </c>
      <c r="AI4" s="79">
        <v>0</v>
      </c>
      <c r="AJ4" s="79">
        <v>0</v>
      </c>
      <c r="AK4" s="79">
        <v>0</v>
      </c>
      <c r="AL4" s="79">
        <v>0</v>
      </c>
      <c r="AM4" s="79">
        <v>0</v>
      </c>
      <c r="AN4" s="79">
        <v>0</v>
      </c>
      <c r="AO4" s="79">
        <v>0</v>
      </c>
      <c r="AP4" s="79">
        <v>0</v>
      </c>
      <c r="AQ4" s="79">
        <v>0</v>
      </c>
      <c r="AR4" s="79">
        <v>0</v>
      </c>
      <c r="AS4" s="79">
        <v>0</v>
      </c>
      <c r="AT4" s="80">
        <v>0</v>
      </c>
    </row>
    <row r="5" spans="2:46" ht="12" customHeight="1" x14ac:dyDescent="0.25">
      <c r="B5" s="78" t="s">
        <v>35</v>
      </c>
      <c r="C5" s="79" t="s">
        <v>54</v>
      </c>
      <c r="D5" s="79" t="s">
        <v>25</v>
      </c>
      <c r="E5" s="79" t="s">
        <v>25</v>
      </c>
      <c r="F5" s="79" t="s">
        <v>80</v>
      </c>
      <c r="G5" s="79" t="s">
        <v>37</v>
      </c>
      <c r="H5" s="79" t="s">
        <v>76</v>
      </c>
      <c r="I5" s="79" t="s">
        <v>25</v>
      </c>
      <c r="J5" s="79">
        <v>114.54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  <c r="P5" s="79">
        <v>0</v>
      </c>
      <c r="Q5" s="79">
        <v>0</v>
      </c>
      <c r="R5" s="79">
        <v>0</v>
      </c>
      <c r="S5" s="79">
        <v>0</v>
      </c>
      <c r="T5" s="79">
        <v>0</v>
      </c>
      <c r="U5" s="79">
        <v>0</v>
      </c>
      <c r="V5" s="79">
        <v>0</v>
      </c>
      <c r="W5" s="79">
        <v>0</v>
      </c>
      <c r="X5" s="79">
        <v>32.753156902854002</v>
      </c>
      <c r="Y5" s="79">
        <v>0</v>
      </c>
      <c r="Z5" s="79">
        <v>0</v>
      </c>
      <c r="AA5" s="79">
        <v>81.790442658580503</v>
      </c>
      <c r="AB5" s="79">
        <v>0</v>
      </c>
      <c r="AC5" s="79">
        <v>0</v>
      </c>
      <c r="AD5" s="79">
        <v>0</v>
      </c>
      <c r="AE5" s="79">
        <v>0</v>
      </c>
      <c r="AF5" s="79">
        <v>0</v>
      </c>
      <c r="AG5" s="79">
        <v>0</v>
      </c>
      <c r="AH5" s="79">
        <v>0</v>
      </c>
      <c r="AI5" s="79">
        <v>0</v>
      </c>
      <c r="AJ5" s="79">
        <v>0</v>
      </c>
      <c r="AK5" s="79">
        <v>0</v>
      </c>
      <c r="AL5" s="79">
        <v>0</v>
      </c>
      <c r="AM5" s="79">
        <v>0</v>
      </c>
      <c r="AN5" s="79">
        <v>0</v>
      </c>
      <c r="AO5" s="79">
        <v>0</v>
      </c>
      <c r="AP5" s="79">
        <v>0</v>
      </c>
      <c r="AQ5" s="79">
        <v>0</v>
      </c>
      <c r="AR5" s="79">
        <v>0</v>
      </c>
      <c r="AS5" s="79">
        <v>0</v>
      </c>
      <c r="AT5" s="80">
        <v>0</v>
      </c>
    </row>
    <row r="6" spans="2:46" ht="12" customHeight="1" x14ac:dyDescent="0.25">
      <c r="B6" s="78" t="s">
        <v>35</v>
      </c>
      <c r="C6" s="79" t="s">
        <v>54</v>
      </c>
      <c r="D6" s="79" t="s">
        <v>25</v>
      </c>
      <c r="E6" s="79" t="s">
        <v>25</v>
      </c>
      <c r="F6" s="79" t="s">
        <v>80</v>
      </c>
      <c r="G6" s="79" t="s">
        <v>38</v>
      </c>
      <c r="H6" s="79" t="s">
        <v>73</v>
      </c>
      <c r="I6" s="79" t="s">
        <v>25</v>
      </c>
      <c r="J6" s="79">
        <v>6.16</v>
      </c>
      <c r="K6" s="79">
        <v>0</v>
      </c>
      <c r="L6" s="79">
        <v>0</v>
      </c>
      <c r="M6" s="79">
        <v>0.85481701863222104</v>
      </c>
      <c r="N6" s="79">
        <v>0</v>
      </c>
      <c r="O6" s="79">
        <v>0</v>
      </c>
      <c r="P6" s="79">
        <v>0</v>
      </c>
      <c r="Q6" s="79">
        <v>0</v>
      </c>
      <c r="R6" s="79">
        <v>0</v>
      </c>
      <c r="S6" s="79">
        <v>0</v>
      </c>
      <c r="T6" s="79">
        <v>0</v>
      </c>
      <c r="U6" s="79">
        <v>0</v>
      </c>
      <c r="V6" s="79">
        <v>0</v>
      </c>
      <c r="W6" s="79">
        <v>0</v>
      </c>
      <c r="X6" s="79">
        <v>0</v>
      </c>
      <c r="Y6" s="79">
        <v>0</v>
      </c>
      <c r="Z6" s="79">
        <v>0</v>
      </c>
      <c r="AA6" s="79">
        <v>0</v>
      </c>
      <c r="AB6" s="79">
        <v>0</v>
      </c>
      <c r="AC6" s="79">
        <v>0</v>
      </c>
      <c r="AD6" s="79">
        <v>0</v>
      </c>
      <c r="AE6" s="79">
        <v>5.1884053948062796</v>
      </c>
      <c r="AF6" s="79">
        <v>0.11720913002410099</v>
      </c>
      <c r="AG6" s="79">
        <v>0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0</v>
      </c>
      <c r="AN6" s="79">
        <v>0</v>
      </c>
      <c r="AO6" s="79">
        <v>0</v>
      </c>
      <c r="AP6" s="79">
        <v>0</v>
      </c>
      <c r="AQ6" s="79">
        <v>0</v>
      </c>
      <c r="AR6" s="79">
        <v>0</v>
      </c>
      <c r="AS6" s="79">
        <v>0</v>
      </c>
      <c r="AT6" s="80">
        <v>0</v>
      </c>
    </row>
    <row r="7" spans="2:46" ht="12" customHeight="1" x14ac:dyDescent="0.25">
      <c r="B7" s="78" t="s">
        <v>35</v>
      </c>
      <c r="C7" s="79" t="s">
        <v>54</v>
      </c>
      <c r="D7" s="79" t="s">
        <v>25</v>
      </c>
      <c r="E7" s="79" t="s">
        <v>25</v>
      </c>
      <c r="F7" s="79" t="s">
        <v>80</v>
      </c>
      <c r="G7" s="79" t="s">
        <v>38</v>
      </c>
      <c r="H7" s="79" t="s">
        <v>76</v>
      </c>
      <c r="I7" s="79" t="s">
        <v>25</v>
      </c>
      <c r="J7" s="79">
        <v>35.619999999999997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14.9229124438661</v>
      </c>
      <c r="Y7" s="79">
        <v>0</v>
      </c>
      <c r="Z7" s="79">
        <v>0</v>
      </c>
      <c r="AA7" s="79">
        <v>20.693835572300699</v>
      </c>
      <c r="AB7" s="79">
        <v>0</v>
      </c>
      <c r="AC7" s="79">
        <v>0</v>
      </c>
      <c r="AD7" s="79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  <c r="AN7" s="79">
        <v>0</v>
      </c>
      <c r="AO7" s="79">
        <v>0</v>
      </c>
      <c r="AP7" s="79">
        <v>0</v>
      </c>
      <c r="AQ7" s="79">
        <v>0</v>
      </c>
      <c r="AR7" s="79">
        <v>0</v>
      </c>
      <c r="AS7" s="79">
        <v>0</v>
      </c>
      <c r="AT7" s="80">
        <v>0</v>
      </c>
    </row>
    <row r="8" spans="2:46" ht="12" customHeight="1" x14ac:dyDescent="0.25">
      <c r="B8" s="78" t="s">
        <v>35</v>
      </c>
      <c r="C8" s="79" t="s">
        <v>54</v>
      </c>
      <c r="D8" s="79" t="s">
        <v>25</v>
      </c>
      <c r="E8" s="79" t="s">
        <v>25</v>
      </c>
      <c r="F8" s="79" t="s">
        <v>25</v>
      </c>
      <c r="G8" s="79" t="s">
        <v>37</v>
      </c>
      <c r="H8" s="79" t="s">
        <v>73</v>
      </c>
      <c r="I8" s="79" t="s">
        <v>25</v>
      </c>
      <c r="J8" s="79">
        <v>96.36</v>
      </c>
      <c r="K8" s="79">
        <v>197.29</v>
      </c>
      <c r="L8" s="79">
        <v>0</v>
      </c>
      <c r="M8" s="79">
        <v>0.85481701863222104</v>
      </c>
      <c r="N8" s="79">
        <v>0</v>
      </c>
      <c r="O8" s="79">
        <v>0</v>
      </c>
      <c r="P8" s="79">
        <v>0</v>
      </c>
      <c r="Q8" s="79">
        <v>75.920382180446794</v>
      </c>
      <c r="R8" s="79">
        <v>14.277343465726201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5.1884053948062796</v>
      </c>
      <c r="AF8" s="79">
        <v>0.11720913002410099</v>
      </c>
      <c r="AG8" s="79">
        <v>0</v>
      </c>
      <c r="AH8" s="79">
        <v>0</v>
      </c>
      <c r="AI8" s="79">
        <v>0</v>
      </c>
      <c r="AJ8" s="79">
        <v>-18.931718437145701</v>
      </c>
      <c r="AK8" s="79">
        <v>0</v>
      </c>
      <c r="AL8" s="79">
        <v>24.429352128568901</v>
      </c>
      <c r="AM8" s="79">
        <v>0</v>
      </c>
      <c r="AN8" s="79">
        <v>187.55902601801401</v>
      </c>
      <c r="AO8" s="79">
        <v>0</v>
      </c>
      <c r="AP8" s="79">
        <v>0</v>
      </c>
      <c r="AQ8" s="79">
        <v>0</v>
      </c>
      <c r="AR8" s="79">
        <v>0</v>
      </c>
      <c r="AS8" s="79">
        <v>0</v>
      </c>
      <c r="AT8" s="80">
        <v>4.2366936734893796</v>
      </c>
    </row>
    <row r="9" spans="2:46" ht="12" customHeight="1" x14ac:dyDescent="0.25">
      <c r="B9" s="78" t="s">
        <v>35</v>
      </c>
      <c r="C9" s="79" t="s">
        <v>54</v>
      </c>
      <c r="D9" s="79" t="s">
        <v>25</v>
      </c>
      <c r="E9" s="79" t="s">
        <v>25</v>
      </c>
      <c r="F9" s="79" t="s">
        <v>25</v>
      </c>
      <c r="G9" s="79" t="s">
        <v>37</v>
      </c>
      <c r="H9" s="79" t="s">
        <v>76</v>
      </c>
      <c r="I9" s="79" t="s">
        <v>25</v>
      </c>
      <c r="J9" s="79">
        <v>114.54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32.753156902854002</v>
      </c>
      <c r="Y9" s="79">
        <v>0</v>
      </c>
      <c r="Z9" s="79">
        <v>0</v>
      </c>
      <c r="AA9" s="79">
        <v>81.790442658580503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  <c r="AI9" s="79">
        <v>0</v>
      </c>
      <c r="AJ9" s="79">
        <v>0</v>
      </c>
      <c r="AK9" s="79">
        <v>0</v>
      </c>
      <c r="AL9" s="79">
        <v>0</v>
      </c>
      <c r="AM9" s="79">
        <v>0</v>
      </c>
      <c r="AN9" s="79">
        <v>0</v>
      </c>
      <c r="AO9" s="79">
        <v>0</v>
      </c>
      <c r="AP9" s="79">
        <v>0</v>
      </c>
      <c r="AQ9" s="79">
        <v>0</v>
      </c>
      <c r="AR9" s="79">
        <v>0</v>
      </c>
      <c r="AS9" s="79">
        <v>0</v>
      </c>
      <c r="AT9" s="80">
        <v>0</v>
      </c>
    </row>
    <row r="10" spans="2:46" ht="12" customHeight="1" x14ac:dyDescent="0.25">
      <c r="B10" s="78" t="s">
        <v>35</v>
      </c>
      <c r="C10" s="79" t="s">
        <v>54</v>
      </c>
      <c r="D10" s="79" t="s">
        <v>25</v>
      </c>
      <c r="E10" s="79" t="s">
        <v>25</v>
      </c>
      <c r="F10" s="79" t="s">
        <v>25</v>
      </c>
      <c r="G10" s="79" t="s">
        <v>38</v>
      </c>
      <c r="H10" s="79" t="s">
        <v>73</v>
      </c>
      <c r="I10" s="79" t="s">
        <v>25</v>
      </c>
      <c r="J10" s="79">
        <v>96.36</v>
      </c>
      <c r="K10" s="79">
        <v>197.29</v>
      </c>
      <c r="L10" s="79">
        <v>0</v>
      </c>
      <c r="M10" s="79">
        <v>0.85481701863222104</v>
      </c>
      <c r="N10" s="79">
        <v>0</v>
      </c>
      <c r="O10" s="79">
        <v>0</v>
      </c>
      <c r="P10" s="79">
        <v>0</v>
      </c>
      <c r="Q10" s="79">
        <v>75.920382180446794</v>
      </c>
      <c r="R10" s="79">
        <v>14.277343465726201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5.1884053948062796</v>
      </c>
      <c r="AF10" s="79">
        <v>0.11720913002410099</v>
      </c>
      <c r="AG10" s="79">
        <v>0</v>
      </c>
      <c r="AH10" s="79">
        <v>0</v>
      </c>
      <c r="AI10" s="79">
        <v>0</v>
      </c>
      <c r="AJ10" s="79">
        <v>-18.931718437145701</v>
      </c>
      <c r="AK10" s="79">
        <v>0</v>
      </c>
      <c r="AL10" s="79">
        <v>24.429352128568901</v>
      </c>
      <c r="AM10" s="79">
        <v>0</v>
      </c>
      <c r="AN10" s="79">
        <v>187.55902601801401</v>
      </c>
      <c r="AO10" s="79">
        <v>0</v>
      </c>
      <c r="AP10" s="79">
        <v>0</v>
      </c>
      <c r="AQ10" s="79">
        <v>0</v>
      </c>
      <c r="AR10" s="79">
        <v>0</v>
      </c>
      <c r="AS10" s="79">
        <v>0</v>
      </c>
      <c r="AT10" s="80">
        <v>4.2366936734893796</v>
      </c>
    </row>
    <row r="11" spans="2:46" ht="12" customHeight="1" x14ac:dyDescent="0.25">
      <c r="B11" s="78" t="s">
        <v>35</v>
      </c>
      <c r="C11" s="79" t="s">
        <v>54</v>
      </c>
      <c r="D11" s="79" t="s">
        <v>25</v>
      </c>
      <c r="E11" s="79" t="s">
        <v>25</v>
      </c>
      <c r="F11" s="79" t="s">
        <v>25</v>
      </c>
      <c r="G11" s="79" t="s">
        <v>38</v>
      </c>
      <c r="H11" s="79" t="s">
        <v>76</v>
      </c>
      <c r="I11" s="79" t="s">
        <v>25</v>
      </c>
      <c r="J11" s="79">
        <v>35.619999999999997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  <c r="V11" s="79">
        <v>0</v>
      </c>
      <c r="W11" s="79">
        <v>0</v>
      </c>
      <c r="X11" s="79">
        <v>14.9229124438661</v>
      </c>
      <c r="Y11" s="79">
        <v>0</v>
      </c>
      <c r="Z11" s="79">
        <v>0</v>
      </c>
      <c r="AA11" s="79">
        <v>20.693835572300699</v>
      </c>
      <c r="AB11" s="79">
        <v>0</v>
      </c>
      <c r="AC11" s="79">
        <v>0</v>
      </c>
      <c r="AD11" s="79">
        <v>0</v>
      </c>
      <c r="AE11" s="79">
        <v>0</v>
      </c>
      <c r="AF11" s="79">
        <v>0</v>
      </c>
      <c r="AG11" s="79">
        <v>0</v>
      </c>
      <c r="AH11" s="79">
        <v>0</v>
      </c>
      <c r="AI11" s="79">
        <v>0</v>
      </c>
      <c r="AJ11" s="79">
        <v>0</v>
      </c>
      <c r="AK11" s="79">
        <v>0</v>
      </c>
      <c r="AL11" s="79">
        <v>0</v>
      </c>
      <c r="AM11" s="79">
        <v>0</v>
      </c>
      <c r="AN11" s="79">
        <v>0</v>
      </c>
      <c r="AO11" s="79">
        <v>0</v>
      </c>
      <c r="AP11" s="79">
        <v>0</v>
      </c>
      <c r="AQ11" s="79">
        <v>0</v>
      </c>
      <c r="AR11" s="79">
        <v>0</v>
      </c>
      <c r="AS11" s="79">
        <v>0</v>
      </c>
      <c r="AT11" s="80">
        <v>0</v>
      </c>
    </row>
    <row r="12" spans="2:46" ht="12" customHeight="1" x14ac:dyDescent="0.25">
      <c r="B12" s="78" t="s">
        <v>35</v>
      </c>
      <c r="C12" s="79" t="s">
        <v>81</v>
      </c>
      <c r="D12" s="79" t="s">
        <v>25</v>
      </c>
      <c r="E12" s="79" t="s">
        <v>25</v>
      </c>
      <c r="F12" s="79" t="s">
        <v>25</v>
      </c>
      <c r="G12" s="79" t="s">
        <v>25</v>
      </c>
      <c r="H12" s="79" t="s">
        <v>76</v>
      </c>
      <c r="I12" s="79" t="s">
        <v>25</v>
      </c>
      <c r="J12" s="79">
        <v>19.59</v>
      </c>
      <c r="K12" s="79">
        <v>0</v>
      </c>
      <c r="L12" s="79">
        <v>0</v>
      </c>
      <c r="M12" s="79">
        <v>3.0286220402147599E-2</v>
      </c>
      <c r="N12" s="79">
        <v>0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  <c r="V12" s="79">
        <v>0</v>
      </c>
      <c r="W12" s="79">
        <v>0</v>
      </c>
      <c r="X12" s="79">
        <v>0</v>
      </c>
      <c r="Y12" s="79">
        <v>0</v>
      </c>
      <c r="Z12" s="79">
        <v>0</v>
      </c>
      <c r="AA12" s="79">
        <v>19.554865385425899</v>
      </c>
      <c r="AB12" s="79">
        <v>0</v>
      </c>
      <c r="AC12" s="79">
        <v>0</v>
      </c>
      <c r="AD12" s="79">
        <v>0</v>
      </c>
      <c r="AE12" s="79">
        <v>0</v>
      </c>
      <c r="AF12" s="79">
        <v>0</v>
      </c>
      <c r="AG12" s="79">
        <v>0</v>
      </c>
      <c r="AH12" s="79">
        <v>0</v>
      </c>
      <c r="AI12" s="79">
        <v>0</v>
      </c>
      <c r="AJ12" s="79">
        <v>0</v>
      </c>
      <c r="AK12" s="79">
        <v>0</v>
      </c>
      <c r="AL12" s="79">
        <v>0</v>
      </c>
      <c r="AM12" s="79">
        <v>0</v>
      </c>
      <c r="AN12" s="79">
        <v>0</v>
      </c>
      <c r="AO12" s="79">
        <v>0</v>
      </c>
      <c r="AP12" s="79">
        <v>0</v>
      </c>
      <c r="AQ12" s="79">
        <v>0</v>
      </c>
      <c r="AR12" s="79">
        <v>0</v>
      </c>
      <c r="AS12" s="79">
        <v>0</v>
      </c>
      <c r="AT12" s="80">
        <v>0</v>
      </c>
    </row>
    <row r="13" spans="2:46" ht="12" customHeight="1" x14ac:dyDescent="0.25">
      <c r="B13" s="78" t="s">
        <v>35</v>
      </c>
      <c r="C13" s="79" t="s">
        <v>36</v>
      </c>
      <c r="D13" s="79" t="s">
        <v>25</v>
      </c>
      <c r="E13" s="79" t="s">
        <v>25</v>
      </c>
      <c r="F13" s="79" t="s">
        <v>80</v>
      </c>
      <c r="G13" s="79" t="s">
        <v>37</v>
      </c>
      <c r="H13" s="79" t="s">
        <v>73</v>
      </c>
      <c r="I13" s="79" t="s">
        <v>25</v>
      </c>
      <c r="J13" s="79">
        <v>2760.86</v>
      </c>
      <c r="K13" s="79">
        <v>0</v>
      </c>
      <c r="L13" s="79">
        <v>0</v>
      </c>
      <c r="M13" s="79">
        <v>0.85481701863222104</v>
      </c>
      <c r="N13" s="79">
        <v>0</v>
      </c>
      <c r="O13" s="79">
        <v>0</v>
      </c>
      <c r="P13" s="79">
        <v>0</v>
      </c>
      <c r="Q13" s="79">
        <v>0</v>
      </c>
      <c r="R13" s="79">
        <v>0</v>
      </c>
      <c r="S13" s="79">
        <v>0</v>
      </c>
      <c r="T13" s="79">
        <v>0</v>
      </c>
      <c r="U13" s="79">
        <v>0</v>
      </c>
      <c r="V13" s="79">
        <v>0</v>
      </c>
      <c r="W13" s="79">
        <v>0</v>
      </c>
      <c r="X13" s="79">
        <v>787.63643402131697</v>
      </c>
      <c r="Y13" s="79">
        <v>0</v>
      </c>
      <c r="Z13" s="79">
        <v>0</v>
      </c>
      <c r="AA13" s="79">
        <v>1967.0619890258899</v>
      </c>
      <c r="AB13" s="79">
        <v>0</v>
      </c>
      <c r="AC13" s="79">
        <v>0</v>
      </c>
      <c r="AD13" s="79">
        <v>0</v>
      </c>
      <c r="AE13" s="79">
        <v>5.1884053948062796</v>
      </c>
      <c r="AF13" s="79">
        <v>0.11720913002410099</v>
      </c>
      <c r="AG13" s="79">
        <v>0</v>
      </c>
      <c r="AH13" s="79">
        <v>0</v>
      </c>
      <c r="AI13" s="79">
        <v>0</v>
      </c>
      <c r="AJ13" s="79">
        <v>0</v>
      </c>
      <c r="AK13" s="79">
        <v>0</v>
      </c>
      <c r="AL13" s="79">
        <v>0</v>
      </c>
      <c r="AM13" s="79">
        <v>0</v>
      </c>
      <c r="AN13" s="79">
        <v>0</v>
      </c>
      <c r="AO13" s="79">
        <v>0</v>
      </c>
      <c r="AP13" s="79">
        <v>0</v>
      </c>
      <c r="AQ13" s="79">
        <v>0</v>
      </c>
      <c r="AR13" s="79">
        <v>0</v>
      </c>
      <c r="AS13" s="79">
        <v>0</v>
      </c>
      <c r="AT13" s="80">
        <v>0</v>
      </c>
    </row>
    <row r="14" spans="2:46" ht="12" customHeight="1" x14ac:dyDescent="0.25">
      <c r="B14" s="78" t="s">
        <v>35</v>
      </c>
      <c r="C14" s="79" t="s">
        <v>36</v>
      </c>
      <c r="D14" s="79" t="s">
        <v>25</v>
      </c>
      <c r="E14" s="79" t="s">
        <v>25</v>
      </c>
      <c r="F14" s="79" t="s">
        <v>80</v>
      </c>
      <c r="G14" s="79" t="s">
        <v>25</v>
      </c>
      <c r="H14" s="79" t="s">
        <v>76</v>
      </c>
      <c r="I14" s="79" t="s">
        <v>25</v>
      </c>
      <c r="J14" s="79">
        <v>35.619999999999997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0</v>
      </c>
      <c r="V14" s="79">
        <v>0</v>
      </c>
      <c r="W14" s="79">
        <v>0</v>
      </c>
      <c r="X14" s="79">
        <v>14.9229124438661</v>
      </c>
      <c r="Y14" s="79">
        <v>0</v>
      </c>
      <c r="Z14" s="79">
        <v>0</v>
      </c>
      <c r="AA14" s="79">
        <v>20.693835572300699</v>
      </c>
      <c r="AB14" s="79">
        <v>0</v>
      </c>
      <c r="AC14" s="79">
        <v>0</v>
      </c>
      <c r="AD14" s="79">
        <v>0</v>
      </c>
      <c r="AE14" s="79">
        <v>0</v>
      </c>
      <c r="AF14" s="79">
        <v>0</v>
      </c>
      <c r="AG14" s="79">
        <v>0</v>
      </c>
      <c r="AH14" s="79">
        <v>0</v>
      </c>
      <c r="AI14" s="79">
        <v>0</v>
      </c>
      <c r="AJ14" s="79">
        <v>0</v>
      </c>
      <c r="AK14" s="79">
        <v>0</v>
      </c>
      <c r="AL14" s="79">
        <v>0</v>
      </c>
      <c r="AM14" s="79">
        <v>0</v>
      </c>
      <c r="AN14" s="79">
        <v>0</v>
      </c>
      <c r="AO14" s="79">
        <v>0</v>
      </c>
      <c r="AP14" s="79">
        <v>0</v>
      </c>
      <c r="AQ14" s="79">
        <v>0</v>
      </c>
      <c r="AR14" s="79">
        <v>0</v>
      </c>
      <c r="AS14" s="79">
        <v>0</v>
      </c>
      <c r="AT14" s="80">
        <v>0</v>
      </c>
    </row>
    <row r="15" spans="2:46" ht="12" customHeight="1" x14ac:dyDescent="0.25">
      <c r="B15" s="78" t="s">
        <v>35</v>
      </c>
      <c r="C15" s="79" t="s">
        <v>36</v>
      </c>
      <c r="D15" s="79" t="s">
        <v>25</v>
      </c>
      <c r="E15" s="79" t="s">
        <v>25</v>
      </c>
      <c r="F15" s="79" t="s">
        <v>80</v>
      </c>
      <c r="G15" s="79" t="s">
        <v>38</v>
      </c>
      <c r="H15" s="79" t="s">
        <v>73</v>
      </c>
      <c r="I15" s="79" t="s">
        <v>25</v>
      </c>
      <c r="J15" s="79">
        <v>6.16</v>
      </c>
      <c r="K15" s="79">
        <v>0</v>
      </c>
      <c r="L15" s="79">
        <v>0</v>
      </c>
      <c r="M15" s="79">
        <v>0.85481701863222104</v>
      </c>
      <c r="N15" s="79">
        <v>0</v>
      </c>
      <c r="O15" s="79">
        <v>0</v>
      </c>
      <c r="P15" s="79">
        <v>0</v>
      </c>
      <c r="Q15" s="79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79">
        <v>0</v>
      </c>
      <c r="AB15" s="79">
        <v>0</v>
      </c>
      <c r="AC15" s="79">
        <v>0</v>
      </c>
      <c r="AD15" s="79">
        <v>0</v>
      </c>
      <c r="AE15" s="79">
        <v>5.1884053948062796</v>
      </c>
      <c r="AF15" s="79">
        <v>0.11720913002410099</v>
      </c>
      <c r="AG15" s="79">
        <v>0</v>
      </c>
      <c r="AH15" s="79">
        <v>0</v>
      </c>
      <c r="AI15" s="79">
        <v>0</v>
      </c>
      <c r="AJ15" s="79">
        <v>0</v>
      </c>
      <c r="AK15" s="79">
        <v>0</v>
      </c>
      <c r="AL15" s="79">
        <v>0</v>
      </c>
      <c r="AM15" s="79">
        <v>0</v>
      </c>
      <c r="AN15" s="79">
        <v>0</v>
      </c>
      <c r="AO15" s="79">
        <v>0</v>
      </c>
      <c r="AP15" s="79">
        <v>0</v>
      </c>
      <c r="AQ15" s="79">
        <v>0</v>
      </c>
      <c r="AR15" s="79">
        <v>0</v>
      </c>
      <c r="AS15" s="79">
        <v>0</v>
      </c>
      <c r="AT15" s="80">
        <v>0</v>
      </c>
    </row>
    <row r="16" spans="2:46" ht="12" customHeight="1" x14ac:dyDescent="0.25">
      <c r="B16" s="78" t="s">
        <v>35</v>
      </c>
      <c r="C16" s="79" t="s">
        <v>36</v>
      </c>
      <c r="D16" s="79" t="s">
        <v>25</v>
      </c>
      <c r="E16" s="79" t="s">
        <v>25</v>
      </c>
      <c r="F16" s="79" t="s">
        <v>25</v>
      </c>
      <c r="G16" s="79" t="s">
        <v>37</v>
      </c>
      <c r="H16" s="79" t="s">
        <v>73</v>
      </c>
      <c r="I16" s="79" t="s">
        <v>25</v>
      </c>
      <c r="J16" s="79">
        <v>2851.06</v>
      </c>
      <c r="K16" s="79">
        <v>197.29</v>
      </c>
      <c r="L16" s="79">
        <v>0</v>
      </c>
      <c r="M16" s="79">
        <v>0.85481701863222104</v>
      </c>
      <c r="N16" s="79">
        <v>0</v>
      </c>
      <c r="O16" s="79">
        <v>0</v>
      </c>
      <c r="P16" s="79">
        <v>0</v>
      </c>
      <c r="Q16" s="79">
        <v>75.920382180446794</v>
      </c>
      <c r="R16" s="79">
        <v>14.277343465726201</v>
      </c>
      <c r="S16" s="79">
        <v>0</v>
      </c>
      <c r="T16" s="79">
        <v>0</v>
      </c>
      <c r="U16" s="79">
        <v>0</v>
      </c>
      <c r="V16" s="79">
        <v>0</v>
      </c>
      <c r="W16" s="79">
        <v>0</v>
      </c>
      <c r="X16" s="79">
        <v>787.63643402131697</v>
      </c>
      <c r="Y16" s="79">
        <v>0</v>
      </c>
      <c r="Z16" s="79">
        <v>0</v>
      </c>
      <c r="AA16" s="79">
        <v>1967.0619890258899</v>
      </c>
      <c r="AB16" s="79">
        <v>0</v>
      </c>
      <c r="AC16" s="79">
        <v>0</v>
      </c>
      <c r="AD16" s="79">
        <v>0</v>
      </c>
      <c r="AE16" s="79">
        <v>5.1884053948062796</v>
      </c>
      <c r="AF16" s="79">
        <v>0.11720913002410099</v>
      </c>
      <c r="AG16" s="79">
        <v>0</v>
      </c>
      <c r="AH16" s="79">
        <v>0</v>
      </c>
      <c r="AI16" s="79">
        <v>0</v>
      </c>
      <c r="AJ16" s="79">
        <v>-18.931718437145701</v>
      </c>
      <c r="AK16" s="79">
        <v>0</v>
      </c>
      <c r="AL16" s="79">
        <v>24.429352128568901</v>
      </c>
      <c r="AM16" s="79">
        <v>0</v>
      </c>
      <c r="AN16" s="79">
        <v>187.55902601801401</v>
      </c>
      <c r="AO16" s="79">
        <v>0</v>
      </c>
      <c r="AP16" s="79">
        <v>0</v>
      </c>
      <c r="AQ16" s="79">
        <v>0</v>
      </c>
      <c r="AR16" s="79">
        <v>0</v>
      </c>
      <c r="AS16" s="79">
        <v>0</v>
      </c>
      <c r="AT16" s="80">
        <v>4.2366936734893796</v>
      </c>
    </row>
    <row r="17" spans="2:46" ht="12" customHeight="1" x14ac:dyDescent="0.25">
      <c r="B17" s="78" t="s">
        <v>35</v>
      </c>
      <c r="C17" s="79" t="s">
        <v>36</v>
      </c>
      <c r="D17" s="79" t="s">
        <v>25</v>
      </c>
      <c r="E17" s="79" t="s">
        <v>25</v>
      </c>
      <c r="F17" s="79" t="s">
        <v>25</v>
      </c>
      <c r="G17" s="79" t="s">
        <v>25</v>
      </c>
      <c r="H17" s="79" t="s">
        <v>76</v>
      </c>
      <c r="I17" s="79" t="s">
        <v>25</v>
      </c>
      <c r="J17" s="79">
        <v>35.619999999999997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14.9229124438661</v>
      </c>
      <c r="Y17" s="79">
        <v>0</v>
      </c>
      <c r="Z17" s="79">
        <v>0</v>
      </c>
      <c r="AA17" s="79">
        <v>20.693835572300699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9">
        <v>0</v>
      </c>
      <c r="AI17" s="79">
        <v>0</v>
      </c>
      <c r="AJ17" s="79">
        <v>0</v>
      </c>
      <c r="AK17" s="79">
        <v>0</v>
      </c>
      <c r="AL17" s="79">
        <v>0</v>
      </c>
      <c r="AM17" s="79">
        <v>0</v>
      </c>
      <c r="AN17" s="79">
        <v>0</v>
      </c>
      <c r="AO17" s="79">
        <v>0</v>
      </c>
      <c r="AP17" s="79">
        <v>0</v>
      </c>
      <c r="AQ17" s="79">
        <v>0</v>
      </c>
      <c r="AR17" s="79">
        <v>0</v>
      </c>
      <c r="AS17" s="79">
        <v>0</v>
      </c>
      <c r="AT17" s="80">
        <v>0</v>
      </c>
    </row>
    <row r="18" spans="2:46" ht="12" customHeight="1" x14ac:dyDescent="0.25">
      <c r="B18" s="78" t="s">
        <v>35</v>
      </c>
      <c r="C18" s="79" t="s">
        <v>36</v>
      </c>
      <c r="D18" s="79" t="s">
        <v>25</v>
      </c>
      <c r="E18" s="79" t="s">
        <v>25</v>
      </c>
      <c r="F18" s="79" t="s">
        <v>25</v>
      </c>
      <c r="G18" s="79" t="s">
        <v>38</v>
      </c>
      <c r="H18" s="79" t="s">
        <v>73</v>
      </c>
      <c r="I18" s="79" t="s">
        <v>25</v>
      </c>
      <c r="J18" s="79">
        <v>96.36</v>
      </c>
      <c r="K18" s="79">
        <v>197.29</v>
      </c>
      <c r="L18" s="79">
        <v>0</v>
      </c>
      <c r="M18" s="79">
        <v>0.85481701863222104</v>
      </c>
      <c r="N18" s="79">
        <v>0</v>
      </c>
      <c r="O18" s="79">
        <v>0</v>
      </c>
      <c r="P18" s="79">
        <v>0</v>
      </c>
      <c r="Q18" s="79">
        <v>75.920382180446794</v>
      </c>
      <c r="R18" s="79">
        <v>14.277343465726201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  <c r="Z18" s="79">
        <v>0</v>
      </c>
      <c r="AA18" s="79">
        <v>0</v>
      </c>
      <c r="AB18" s="79">
        <v>0</v>
      </c>
      <c r="AC18" s="79">
        <v>0</v>
      </c>
      <c r="AD18" s="79">
        <v>0</v>
      </c>
      <c r="AE18" s="79">
        <v>5.1884053948062796</v>
      </c>
      <c r="AF18" s="79">
        <v>0.11720913002410099</v>
      </c>
      <c r="AG18" s="79">
        <v>0</v>
      </c>
      <c r="AH18" s="79">
        <v>0</v>
      </c>
      <c r="AI18" s="79">
        <v>0</v>
      </c>
      <c r="AJ18" s="79">
        <v>-18.931718437145701</v>
      </c>
      <c r="AK18" s="79">
        <v>0</v>
      </c>
      <c r="AL18" s="79">
        <v>24.429352128568901</v>
      </c>
      <c r="AM18" s="79">
        <v>0</v>
      </c>
      <c r="AN18" s="79">
        <v>187.55902601801401</v>
      </c>
      <c r="AO18" s="79">
        <v>0</v>
      </c>
      <c r="AP18" s="79">
        <v>0</v>
      </c>
      <c r="AQ18" s="79">
        <v>0</v>
      </c>
      <c r="AR18" s="79">
        <v>0</v>
      </c>
      <c r="AS18" s="79">
        <v>0</v>
      </c>
      <c r="AT18" s="80">
        <v>4.2366936734893796</v>
      </c>
    </row>
    <row r="19" spans="2:46" ht="12" customHeight="1" x14ac:dyDescent="0.25">
      <c r="B19" s="78" t="s">
        <v>82</v>
      </c>
      <c r="C19" s="79" t="s">
        <v>81</v>
      </c>
      <c r="D19" s="79" t="s">
        <v>25</v>
      </c>
      <c r="E19" s="79" t="s">
        <v>25</v>
      </c>
      <c r="F19" s="79" t="s">
        <v>83</v>
      </c>
      <c r="G19" s="79" t="s">
        <v>25</v>
      </c>
      <c r="H19" s="79" t="s">
        <v>76</v>
      </c>
      <c r="I19" s="79" t="s">
        <v>25</v>
      </c>
      <c r="J19" s="79">
        <v>3.7</v>
      </c>
      <c r="K19" s="79">
        <v>0</v>
      </c>
      <c r="L19" s="79">
        <v>0</v>
      </c>
      <c r="M19" s="79">
        <v>5.1658770585602896E-3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79">
        <v>3.6956774736193001</v>
      </c>
      <c r="AB19" s="79">
        <v>0</v>
      </c>
      <c r="AC19" s="79">
        <v>0</v>
      </c>
      <c r="AD19" s="79">
        <v>0</v>
      </c>
      <c r="AE19" s="79">
        <v>0</v>
      </c>
      <c r="AF19" s="79">
        <v>0</v>
      </c>
      <c r="AG19" s="79">
        <v>0</v>
      </c>
      <c r="AH19" s="79">
        <v>0</v>
      </c>
      <c r="AI19" s="79">
        <v>0</v>
      </c>
      <c r="AJ19" s="79">
        <v>0</v>
      </c>
      <c r="AK19" s="79">
        <v>0</v>
      </c>
      <c r="AL19" s="79">
        <v>0</v>
      </c>
      <c r="AM19" s="79">
        <v>0</v>
      </c>
      <c r="AN19" s="79">
        <v>0</v>
      </c>
      <c r="AO19" s="79">
        <v>0</v>
      </c>
      <c r="AP19" s="79">
        <v>0</v>
      </c>
      <c r="AQ19" s="79">
        <v>0</v>
      </c>
      <c r="AR19" s="79">
        <v>0</v>
      </c>
      <c r="AS19" s="79">
        <v>0</v>
      </c>
      <c r="AT19" s="80">
        <v>0</v>
      </c>
    </row>
    <row r="20" spans="2:46" ht="12" customHeight="1" x14ac:dyDescent="0.25">
      <c r="B20" s="78" t="s">
        <v>82</v>
      </c>
      <c r="C20" s="79" t="s">
        <v>81</v>
      </c>
      <c r="D20" s="79" t="s">
        <v>25</v>
      </c>
      <c r="E20" s="79" t="s">
        <v>25</v>
      </c>
      <c r="F20" s="79" t="s">
        <v>84</v>
      </c>
      <c r="G20" s="79" t="s">
        <v>25</v>
      </c>
      <c r="H20" s="79" t="s">
        <v>76</v>
      </c>
      <c r="I20" s="79" t="s">
        <v>25</v>
      </c>
      <c r="J20" s="79">
        <v>20.37</v>
      </c>
      <c r="K20" s="79">
        <v>0</v>
      </c>
      <c r="L20" s="79">
        <v>0</v>
      </c>
      <c r="M20" s="79">
        <v>5.1658770585602896E-3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20.3656796866007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79">
        <v>0</v>
      </c>
      <c r="AM20" s="79">
        <v>0</v>
      </c>
      <c r="AN20" s="79">
        <v>0</v>
      </c>
      <c r="AO20" s="79">
        <v>0</v>
      </c>
      <c r="AP20" s="79">
        <v>0</v>
      </c>
      <c r="AQ20" s="79">
        <v>0</v>
      </c>
      <c r="AR20" s="79">
        <v>0</v>
      </c>
      <c r="AS20" s="79">
        <v>0</v>
      </c>
      <c r="AT20" s="80">
        <v>0</v>
      </c>
    </row>
    <row r="21" spans="2:46" ht="12" customHeight="1" x14ac:dyDescent="0.25">
      <c r="B21" s="78" t="s">
        <v>22</v>
      </c>
      <c r="C21" s="79" t="s">
        <v>87</v>
      </c>
      <c r="D21" s="79" t="s">
        <v>24</v>
      </c>
      <c r="E21" s="79" t="s">
        <v>24</v>
      </c>
      <c r="F21" s="79" t="s">
        <v>25</v>
      </c>
      <c r="G21" s="79" t="s">
        <v>37</v>
      </c>
      <c r="H21" s="79" t="s">
        <v>73</v>
      </c>
      <c r="I21" s="79" t="s">
        <v>25</v>
      </c>
      <c r="J21" s="79">
        <v>1305.9100000000001</v>
      </c>
      <c r="K21" s="79">
        <v>197.29</v>
      </c>
      <c r="L21" s="79">
        <v>0</v>
      </c>
      <c r="M21" s="79">
        <v>1.31465443148182</v>
      </c>
      <c r="N21" s="79">
        <v>0</v>
      </c>
      <c r="O21" s="79">
        <v>0</v>
      </c>
      <c r="P21" s="79">
        <v>0</v>
      </c>
      <c r="Q21" s="79">
        <v>90.381407357674803</v>
      </c>
      <c r="R21" s="79">
        <v>14.277343465726201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342.125644996728</v>
      </c>
      <c r="Y21" s="79">
        <v>0</v>
      </c>
      <c r="Z21" s="79">
        <v>0</v>
      </c>
      <c r="AA21" s="79">
        <v>842.72260135692397</v>
      </c>
      <c r="AB21" s="79">
        <v>0</v>
      </c>
      <c r="AC21" s="79">
        <v>0</v>
      </c>
      <c r="AD21" s="79">
        <v>0</v>
      </c>
      <c r="AE21" s="79">
        <v>14.755610209546299</v>
      </c>
      <c r="AF21" s="79">
        <v>0.33329428661958099</v>
      </c>
      <c r="AG21" s="79">
        <v>0</v>
      </c>
      <c r="AH21" s="79">
        <v>0</v>
      </c>
      <c r="AI21" s="79">
        <v>0</v>
      </c>
      <c r="AJ21" s="79">
        <v>-18.931718437145701</v>
      </c>
      <c r="AK21" s="79">
        <v>0</v>
      </c>
      <c r="AL21" s="79">
        <v>24.429352128568901</v>
      </c>
      <c r="AM21" s="79">
        <v>0</v>
      </c>
      <c r="AN21" s="79">
        <v>187.55902601801401</v>
      </c>
      <c r="AO21" s="79">
        <v>0</v>
      </c>
      <c r="AP21" s="79">
        <v>0</v>
      </c>
      <c r="AQ21" s="79">
        <v>0</v>
      </c>
      <c r="AR21" s="79">
        <v>0</v>
      </c>
      <c r="AS21" s="79">
        <v>0</v>
      </c>
      <c r="AT21" s="80">
        <v>4.2366936734893796</v>
      </c>
    </row>
    <row r="22" spans="2:46" ht="12" customHeight="1" x14ac:dyDescent="0.25">
      <c r="B22" s="78" t="s">
        <v>22</v>
      </c>
      <c r="C22" s="79" t="s">
        <v>87</v>
      </c>
      <c r="D22" s="79" t="s">
        <v>24</v>
      </c>
      <c r="E22" s="79" t="s">
        <v>24</v>
      </c>
      <c r="F22" s="79" t="s">
        <v>25</v>
      </c>
      <c r="G22" s="79" t="s">
        <v>559</v>
      </c>
      <c r="H22" s="79" t="s">
        <v>73</v>
      </c>
      <c r="I22" s="79" t="s">
        <v>25</v>
      </c>
      <c r="J22" s="79">
        <v>831.97</v>
      </c>
      <c r="K22" s="79">
        <v>197.29</v>
      </c>
      <c r="L22" s="79">
        <v>0</v>
      </c>
      <c r="M22" s="79">
        <v>1.31465443148182</v>
      </c>
      <c r="N22" s="79">
        <v>0</v>
      </c>
      <c r="O22" s="79">
        <v>0</v>
      </c>
      <c r="P22" s="79">
        <v>0</v>
      </c>
      <c r="Q22" s="79">
        <v>90.381407357674803</v>
      </c>
      <c r="R22" s="79">
        <v>14.277343465726201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  <c r="X22" s="79">
        <v>205.272255222078</v>
      </c>
      <c r="Y22" s="79">
        <v>0</v>
      </c>
      <c r="Z22" s="79">
        <v>0</v>
      </c>
      <c r="AA22" s="79">
        <v>505.63350321768502</v>
      </c>
      <c r="AB22" s="79">
        <v>0</v>
      </c>
      <c r="AC22" s="79">
        <v>0</v>
      </c>
      <c r="AD22" s="79">
        <v>0</v>
      </c>
      <c r="AE22" s="79">
        <v>14.755610209546299</v>
      </c>
      <c r="AF22" s="79">
        <v>0.33329428661958099</v>
      </c>
      <c r="AG22" s="79">
        <v>0</v>
      </c>
      <c r="AH22" s="79">
        <v>0</v>
      </c>
      <c r="AI22" s="79">
        <v>0</v>
      </c>
      <c r="AJ22" s="79">
        <v>-18.931718437145701</v>
      </c>
      <c r="AK22" s="79">
        <v>0</v>
      </c>
      <c r="AL22" s="79">
        <v>24.429352128568901</v>
      </c>
      <c r="AM22" s="79">
        <v>0</v>
      </c>
      <c r="AN22" s="79">
        <v>187.55902601801401</v>
      </c>
      <c r="AO22" s="79">
        <v>0</v>
      </c>
      <c r="AP22" s="79">
        <v>0</v>
      </c>
      <c r="AQ22" s="79">
        <v>0</v>
      </c>
      <c r="AR22" s="79">
        <v>0</v>
      </c>
      <c r="AS22" s="79">
        <v>0</v>
      </c>
      <c r="AT22" s="80">
        <v>4.2366936734893796</v>
      </c>
    </row>
    <row r="23" spans="2:46" ht="12" customHeight="1" x14ac:dyDescent="0.25">
      <c r="B23" s="78" t="s">
        <v>22</v>
      </c>
      <c r="C23" s="79" t="s">
        <v>87</v>
      </c>
      <c r="D23" s="79" t="s">
        <v>24</v>
      </c>
      <c r="E23" s="79" t="s">
        <v>24</v>
      </c>
      <c r="F23" s="79" t="s">
        <v>25</v>
      </c>
      <c r="G23" s="79" t="s">
        <v>38</v>
      </c>
      <c r="H23" s="79" t="s">
        <v>73</v>
      </c>
      <c r="I23" s="79" t="s">
        <v>25</v>
      </c>
      <c r="J23" s="79">
        <v>358.03</v>
      </c>
      <c r="K23" s="79">
        <v>197.29</v>
      </c>
      <c r="L23" s="79">
        <v>0</v>
      </c>
      <c r="M23" s="79">
        <v>1.31465443148182</v>
      </c>
      <c r="N23" s="79">
        <v>0</v>
      </c>
      <c r="O23" s="79">
        <v>0</v>
      </c>
      <c r="P23" s="79">
        <v>0</v>
      </c>
      <c r="Q23" s="79">
        <v>90.381407357674803</v>
      </c>
      <c r="R23" s="79">
        <v>14.277343465726201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68.424085074025896</v>
      </c>
      <c r="Y23" s="79">
        <v>0</v>
      </c>
      <c r="Z23" s="79">
        <v>0</v>
      </c>
      <c r="AA23" s="79">
        <v>168.544405078446</v>
      </c>
      <c r="AB23" s="79">
        <v>0</v>
      </c>
      <c r="AC23" s="79">
        <v>0</v>
      </c>
      <c r="AD23" s="79">
        <v>0</v>
      </c>
      <c r="AE23" s="79">
        <v>14.755610209546299</v>
      </c>
      <c r="AF23" s="79">
        <v>0.33329428661958099</v>
      </c>
      <c r="AG23" s="79">
        <v>0</v>
      </c>
      <c r="AH23" s="79">
        <v>0</v>
      </c>
      <c r="AI23" s="79">
        <v>0</v>
      </c>
      <c r="AJ23" s="79">
        <v>-18.931718437145701</v>
      </c>
      <c r="AK23" s="79">
        <v>0</v>
      </c>
      <c r="AL23" s="79">
        <v>24.429352128568901</v>
      </c>
      <c r="AM23" s="79">
        <v>0</v>
      </c>
      <c r="AN23" s="79">
        <v>187.55902601801401</v>
      </c>
      <c r="AO23" s="79">
        <v>0</v>
      </c>
      <c r="AP23" s="79">
        <v>0</v>
      </c>
      <c r="AQ23" s="79">
        <v>0</v>
      </c>
      <c r="AR23" s="79">
        <v>0</v>
      </c>
      <c r="AS23" s="79">
        <v>0</v>
      </c>
      <c r="AT23" s="80">
        <v>4.2366936734893796</v>
      </c>
    </row>
    <row r="24" spans="2:46" ht="12" customHeight="1" x14ac:dyDescent="0.25">
      <c r="B24" s="78" t="s">
        <v>22</v>
      </c>
      <c r="C24" s="79" t="s">
        <v>23</v>
      </c>
      <c r="D24" s="79" t="s">
        <v>24</v>
      </c>
      <c r="E24" s="79" t="s">
        <v>1086</v>
      </c>
      <c r="F24" s="79" t="s">
        <v>25</v>
      </c>
      <c r="G24" s="79" t="s">
        <v>25</v>
      </c>
      <c r="H24" s="79" t="s">
        <v>73</v>
      </c>
      <c r="I24" s="79" t="s">
        <v>25</v>
      </c>
      <c r="J24" s="79">
        <v>424.97</v>
      </c>
      <c r="K24" s="79">
        <v>197.29</v>
      </c>
      <c r="L24" s="79">
        <v>0</v>
      </c>
      <c r="M24" s="79">
        <v>1.31465443148182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117.968780742853</v>
      </c>
      <c r="Y24" s="79">
        <v>0</v>
      </c>
      <c r="Z24" s="79">
        <v>0</v>
      </c>
      <c r="AA24" s="79">
        <v>290.59391605928602</v>
      </c>
      <c r="AB24" s="79">
        <v>0</v>
      </c>
      <c r="AC24" s="79">
        <v>0</v>
      </c>
      <c r="AD24" s="79">
        <v>0</v>
      </c>
      <c r="AE24" s="79">
        <v>14.755610209546299</v>
      </c>
      <c r="AF24" s="79">
        <v>0.33329428661958099</v>
      </c>
      <c r="AG24" s="79">
        <v>0</v>
      </c>
      <c r="AH24" s="79">
        <v>0</v>
      </c>
      <c r="AI24" s="79">
        <v>0</v>
      </c>
      <c r="AJ24" s="79">
        <v>-18.931718437145701</v>
      </c>
      <c r="AK24" s="79">
        <v>0</v>
      </c>
      <c r="AL24" s="79">
        <v>24.429352128568901</v>
      </c>
      <c r="AM24" s="79">
        <v>0</v>
      </c>
      <c r="AN24" s="79">
        <v>187.55902601801401</v>
      </c>
      <c r="AO24" s="79">
        <v>0</v>
      </c>
      <c r="AP24" s="79">
        <v>0</v>
      </c>
      <c r="AQ24" s="79">
        <v>0</v>
      </c>
      <c r="AR24" s="79">
        <v>0</v>
      </c>
      <c r="AS24" s="79">
        <v>0</v>
      </c>
      <c r="AT24" s="80">
        <v>4.2366936734893796</v>
      </c>
    </row>
    <row r="25" spans="2:46" ht="12" customHeight="1" x14ac:dyDescent="0.25">
      <c r="B25" s="78" t="s">
        <v>22</v>
      </c>
      <c r="C25" s="79" t="s">
        <v>23</v>
      </c>
      <c r="D25" s="79" t="s">
        <v>24</v>
      </c>
      <c r="E25" s="79" t="s">
        <v>24</v>
      </c>
      <c r="F25" s="79" t="s">
        <v>25</v>
      </c>
      <c r="G25" s="79" t="s">
        <v>25</v>
      </c>
      <c r="H25" s="79" t="s">
        <v>73</v>
      </c>
      <c r="I25" s="79" t="s">
        <v>25</v>
      </c>
      <c r="J25" s="79">
        <v>529.63</v>
      </c>
      <c r="K25" s="79">
        <v>197.29</v>
      </c>
      <c r="L25" s="79">
        <v>0</v>
      </c>
      <c r="M25" s="79">
        <v>1.31465443148182</v>
      </c>
      <c r="N25" s="79">
        <v>0</v>
      </c>
      <c r="O25" s="79">
        <v>0</v>
      </c>
      <c r="P25" s="79">
        <v>0</v>
      </c>
      <c r="Q25" s="79">
        <v>90.381407357674803</v>
      </c>
      <c r="R25" s="79">
        <v>14.277343465726201</v>
      </c>
      <c r="S25" s="79">
        <v>0</v>
      </c>
      <c r="T25" s="79">
        <v>0</v>
      </c>
      <c r="U25" s="79">
        <v>0</v>
      </c>
      <c r="V25" s="79">
        <v>0</v>
      </c>
      <c r="W25" s="79">
        <v>0</v>
      </c>
      <c r="X25" s="79">
        <v>117.968780742853</v>
      </c>
      <c r="Y25" s="79">
        <v>0</v>
      </c>
      <c r="Z25" s="79">
        <v>0</v>
      </c>
      <c r="AA25" s="79">
        <v>290.59391605928602</v>
      </c>
      <c r="AB25" s="79">
        <v>0</v>
      </c>
      <c r="AC25" s="79">
        <v>0</v>
      </c>
      <c r="AD25" s="79">
        <v>0</v>
      </c>
      <c r="AE25" s="79">
        <v>14.755610209546299</v>
      </c>
      <c r="AF25" s="79">
        <v>0.33329428661958099</v>
      </c>
      <c r="AG25" s="79">
        <v>0</v>
      </c>
      <c r="AH25" s="79">
        <v>0</v>
      </c>
      <c r="AI25" s="79">
        <v>0</v>
      </c>
      <c r="AJ25" s="79">
        <v>-18.931718437145701</v>
      </c>
      <c r="AK25" s="79">
        <v>0</v>
      </c>
      <c r="AL25" s="79">
        <v>24.429352128568901</v>
      </c>
      <c r="AM25" s="79">
        <v>0</v>
      </c>
      <c r="AN25" s="79">
        <v>187.55902601801401</v>
      </c>
      <c r="AO25" s="79">
        <v>0</v>
      </c>
      <c r="AP25" s="79">
        <v>0</v>
      </c>
      <c r="AQ25" s="79">
        <v>0</v>
      </c>
      <c r="AR25" s="79">
        <v>0</v>
      </c>
      <c r="AS25" s="79">
        <v>0</v>
      </c>
      <c r="AT25" s="80">
        <v>4.2366936734893796</v>
      </c>
    </row>
    <row r="26" spans="2:46" ht="12" customHeight="1" x14ac:dyDescent="0.25">
      <c r="B26" s="78" t="s">
        <v>22</v>
      </c>
      <c r="C26" s="79" t="s">
        <v>89</v>
      </c>
      <c r="D26" s="79" t="s">
        <v>24</v>
      </c>
      <c r="E26" s="79" t="s">
        <v>1086</v>
      </c>
      <c r="F26" s="79" t="s">
        <v>25</v>
      </c>
      <c r="G26" s="79" t="s">
        <v>25</v>
      </c>
      <c r="H26" s="79" t="s">
        <v>73</v>
      </c>
      <c r="I26" s="79" t="s">
        <v>25</v>
      </c>
      <c r="J26" s="79">
        <v>424.97</v>
      </c>
      <c r="K26" s="79">
        <v>197.29</v>
      </c>
      <c r="L26" s="79">
        <v>0</v>
      </c>
      <c r="M26" s="79">
        <v>1.31465443148182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117.968780742853</v>
      </c>
      <c r="Y26" s="79">
        <v>0</v>
      </c>
      <c r="Z26" s="79">
        <v>0</v>
      </c>
      <c r="AA26" s="79">
        <v>290.59391605928602</v>
      </c>
      <c r="AB26" s="79">
        <v>0</v>
      </c>
      <c r="AC26" s="79">
        <v>0</v>
      </c>
      <c r="AD26" s="79">
        <v>0</v>
      </c>
      <c r="AE26" s="79">
        <v>14.755610209546299</v>
      </c>
      <c r="AF26" s="79">
        <v>0.33329428661958099</v>
      </c>
      <c r="AG26" s="79">
        <v>0</v>
      </c>
      <c r="AH26" s="79">
        <v>0</v>
      </c>
      <c r="AI26" s="79">
        <v>0</v>
      </c>
      <c r="AJ26" s="79">
        <v>-18.931718437145701</v>
      </c>
      <c r="AK26" s="79">
        <v>0</v>
      </c>
      <c r="AL26" s="79">
        <v>24.429352128568901</v>
      </c>
      <c r="AM26" s="79">
        <v>0</v>
      </c>
      <c r="AN26" s="79">
        <v>187.55902601801401</v>
      </c>
      <c r="AO26" s="79">
        <v>0</v>
      </c>
      <c r="AP26" s="79">
        <v>0</v>
      </c>
      <c r="AQ26" s="79">
        <v>0</v>
      </c>
      <c r="AR26" s="79">
        <v>0</v>
      </c>
      <c r="AS26" s="79">
        <v>0</v>
      </c>
      <c r="AT26" s="80">
        <v>4.2366936734893796</v>
      </c>
    </row>
    <row r="27" spans="2:46" ht="12" customHeight="1" x14ac:dyDescent="0.25">
      <c r="B27" s="78" t="s">
        <v>22</v>
      </c>
      <c r="C27" s="79" t="s">
        <v>89</v>
      </c>
      <c r="D27" s="79" t="s">
        <v>24</v>
      </c>
      <c r="E27" s="79" t="s">
        <v>24</v>
      </c>
      <c r="F27" s="79" t="s">
        <v>25</v>
      </c>
      <c r="G27" s="79" t="s">
        <v>25</v>
      </c>
      <c r="H27" s="79" t="s">
        <v>73</v>
      </c>
      <c r="I27" s="79" t="s">
        <v>25</v>
      </c>
      <c r="J27" s="79">
        <v>529.63</v>
      </c>
      <c r="K27" s="79">
        <v>197.29</v>
      </c>
      <c r="L27" s="79">
        <v>0</v>
      </c>
      <c r="M27" s="79">
        <v>1.31465443148182</v>
      </c>
      <c r="N27" s="79">
        <v>0</v>
      </c>
      <c r="O27" s="79">
        <v>0</v>
      </c>
      <c r="P27" s="79">
        <v>0</v>
      </c>
      <c r="Q27" s="79">
        <v>90.381407357674803</v>
      </c>
      <c r="R27" s="79">
        <v>14.277343465726201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117.968780742853</v>
      </c>
      <c r="Y27" s="79">
        <v>0</v>
      </c>
      <c r="Z27" s="79">
        <v>0</v>
      </c>
      <c r="AA27" s="79">
        <v>290.59391605928602</v>
      </c>
      <c r="AB27" s="79">
        <v>0</v>
      </c>
      <c r="AC27" s="79">
        <v>0</v>
      </c>
      <c r="AD27" s="79">
        <v>0</v>
      </c>
      <c r="AE27" s="79">
        <v>14.755610209546299</v>
      </c>
      <c r="AF27" s="79">
        <v>0.33329428661958099</v>
      </c>
      <c r="AG27" s="79">
        <v>0</v>
      </c>
      <c r="AH27" s="79">
        <v>0</v>
      </c>
      <c r="AI27" s="79">
        <v>0</v>
      </c>
      <c r="AJ27" s="79">
        <v>-18.931718437145701</v>
      </c>
      <c r="AK27" s="79">
        <v>0</v>
      </c>
      <c r="AL27" s="79">
        <v>24.429352128568901</v>
      </c>
      <c r="AM27" s="79">
        <v>0</v>
      </c>
      <c r="AN27" s="79">
        <v>187.55902601801401</v>
      </c>
      <c r="AO27" s="79">
        <v>0</v>
      </c>
      <c r="AP27" s="79">
        <v>0</v>
      </c>
      <c r="AQ27" s="79">
        <v>0</v>
      </c>
      <c r="AR27" s="79">
        <v>0</v>
      </c>
      <c r="AS27" s="79">
        <v>0</v>
      </c>
      <c r="AT27" s="80">
        <v>4.2366936734893796</v>
      </c>
    </row>
    <row r="28" spans="2:46" ht="12" customHeight="1" x14ac:dyDescent="0.25">
      <c r="B28" s="78" t="s">
        <v>40</v>
      </c>
      <c r="C28" s="79" t="s">
        <v>87</v>
      </c>
      <c r="D28" s="79" t="s">
        <v>41</v>
      </c>
      <c r="E28" s="79" t="s">
        <v>90</v>
      </c>
      <c r="F28" s="79" t="s">
        <v>25</v>
      </c>
      <c r="G28" s="79" t="s">
        <v>37</v>
      </c>
      <c r="H28" s="79" t="s">
        <v>73</v>
      </c>
      <c r="I28" s="79" t="s">
        <v>25</v>
      </c>
      <c r="J28" s="79">
        <v>1304.3599999999999</v>
      </c>
      <c r="K28" s="79">
        <v>185.46</v>
      </c>
      <c r="L28" s="79">
        <v>0</v>
      </c>
      <c r="M28" s="79">
        <v>1.2357751655929099</v>
      </c>
      <c r="N28" s="79">
        <v>0</v>
      </c>
      <c r="O28" s="79">
        <v>0</v>
      </c>
      <c r="P28" s="79">
        <v>0</v>
      </c>
      <c r="Q28" s="79">
        <v>84.958522916214307</v>
      </c>
      <c r="R28" s="79">
        <v>13.420702857782601</v>
      </c>
      <c r="S28" s="79">
        <v>0</v>
      </c>
      <c r="T28" s="79">
        <v>0</v>
      </c>
      <c r="U28" s="79">
        <v>0</v>
      </c>
      <c r="V28" s="79">
        <v>0</v>
      </c>
      <c r="W28" s="79">
        <v>0</v>
      </c>
      <c r="X28" s="79">
        <v>343.77525578678001</v>
      </c>
      <c r="Y28" s="79">
        <v>0</v>
      </c>
      <c r="Z28" s="79">
        <v>0</v>
      </c>
      <c r="AA28" s="79">
        <v>846.79098270567602</v>
      </c>
      <c r="AB28" s="79">
        <v>0</v>
      </c>
      <c r="AC28" s="79">
        <v>0</v>
      </c>
      <c r="AD28" s="79">
        <v>0</v>
      </c>
      <c r="AE28" s="79">
        <v>13.870273596973499</v>
      </c>
      <c r="AF28" s="79">
        <v>0.31329662942240599</v>
      </c>
      <c r="AG28" s="79">
        <v>0</v>
      </c>
      <c r="AH28" s="79">
        <v>0</v>
      </c>
      <c r="AI28" s="79">
        <v>0</v>
      </c>
      <c r="AJ28" s="79">
        <v>-17.795815330917002</v>
      </c>
      <c r="AK28" s="79">
        <v>0</v>
      </c>
      <c r="AL28" s="79">
        <v>22.963591000854802</v>
      </c>
      <c r="AM28" s="79">
        <v>0</v>
      </c>
      <c r="AN28" s="79">
        <v>176.30548445693299</v>
      </c>
      <c r="AO28" s="79">
        <v>0</v>
      </c>
      <c r="AP28" s="79">
        <v>0</v>
      </c>
      <c r="AQ28" s="79">
        <v>0</v>
      </c>
      <c r="AR28" s="79">
        <v>0</v>
      </c>
      <c r="AS28" s="79">
        <v>0</v>
      </c>
      <c r="AT28" s="80">
        <v>3.9824920530800201</v>
      </c>
    </row>
    <row r="29" spans="2:46" ht="12" customHeight="1" x14ac:dyDescent="0.25">
      <c r="B29" s="78" t="s">
        <v>40</v>
      </c>
      <c r="C29" s="79" t="s">
        <v>87</v>
      </c>
      <c r="D29" s="79" t="s">
        <v>41</v>
      </c>
      <c r="E29" s="79" t="s">
        <v>90</v>
      </c>
      <c r="F29" s="79" t="s">
        <v>25</v>
      </c>
      <c r="G29" s="79" t="s">
        <v>559</v>
      </c>
      <c r="H29" s="79" t="s">
        <v>73</v>
      </c>
      <c r="I29" s="79" t="s">
        <v>25</v>
      </c>
      <c r="J29" s="79">
        <v>828.14</v>
      </c>
      <c r="K29" s="79">
        <v>185.46</v>
      </c>
      <c r="L29" s="79">
        <v>0</v>
      </c>
      <c r="M29" s="79">
        <v>1.2357751655929099</v>
      </c>
      <c r="N29" s="79">
        <v>0</v>
      </c>
      <c r="O29" s="79">
        <v>0</v>
      </c>
      <c r="P29" s="79">
        <v>0</v>
      </c>
      <c r="Q29" s="79">
        <v>84.958522916214307</v>
      </c>
      <c r="R29" s="79">
        <v>13.420702857782601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206.26711605166901</v>
      </c>
      <c r="Y29" s="79">
        <v>0</v>
      </c>
      <c r="Z29" s="79">
        <v>0</v>
      </c>
      <c r="AA29" s="79">
        <v>508.07456255306499</v>
      </c>
      <c r="AB29" s="79">
        <v>0</v>
      </c>
      <c r="AC29" s="79">
        <v>0</v>
      </c>
      <c r="AD29" s="79">
        <v>0</v>
      </c>
      <c r="AE29" s="79">
        <v>13.870273596973499</v>
      </c>
      <c r="AF29" s="79">
        <v>0.31329662942240599</v>
      </c>
      <c r="AG29" s="79">
        <v>0</v>
      </c>
      <c r="AH29" s="79">
        <v>0</v>
      </c>
      <c r="AI29" s="79">
        <v>0</v>
      </c>
      <c r="AJ29" s="79">
        <v>-17.795815330917002</v>
      </c>
      <c r="AK29" s="79">
        <v>0</v>
      </c>
      <c r="AL29" s="79">
        <v>22.963591000854802</v>
      </c>
      <c r="AM29" s="79">
        <v>0</v>
      </c>
      <c r="AN29" s="79">
        <v>176.30548445693299</v>
      </c>
      <c r="AO29" s="79">
        <v>0</v>
      </c>
      <c r="AP29" s="79">
        <v>0</v>
      </c>
      <c r="AQ29" s="79">
        <v>0</v>
      </c>
      <c r="AR29" s="79">
        <v>0</v>
      </c>
      <c r="AS29" s="79">
        <v>0</v>
      </c>
      <c r="AT29" s="80">
        <v>3.9824920530800201</v>
      </c>
    </row>
    <row r="30" spans="2:46" ht="12" customHeight="1" x14ac:dyDescent="0.25">
      <c r="B30" s="78" t="s">
        <v>40</v>
      </c>
      <c r="C30" s="79" t="s">
        <v>87</v>
      </c>
      <c r="D30" s="79" t="s">
        <v>41</v>
      </c>
      <c r="E30" s="79" t="s">
        <v>90</v>
      </c>
      <c r="F30" s="79" t="s">
        <v>25</v>
      </c>
      <c r="G30" s="79" t="s">
        <v>38</v>
      </c>
      <c r="H30" s="79" t="s">
        <v>73</v>
      </c>
      <c r="I30" s="79" t="s">
        <v>25</v>
      </c>
      <c r="J30" s="79">
        <v>351.92</v>
      </c>
      <c r="K30" s="79">
        <v>185.46</v>
      </c>
      <c r="L30" s="79">
        <v>0</v>
      </c>
      <c r="M30" s="79">
        <v>1.2357751655929099</v>
      </c>
      <c r="N30" s="79">
        <v>0</v>
      </c>
      <c r="O30" s="79">
        <v>0</v>
      </c>
      <c r="P30" s="79">
        <v>0</v>
      </c>
      <c r="Q30" s="79">
        <v>84.958522916214307</v>
      </c>
      <c r="R30" s="79">
        <v>13.420702857782601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68.758976316557707</v>
      </c>
      <c r="Y30" s="79">
        <v>0</v>
      </c>
      <c r="Z30" s="79">
        <v>0</v>
      </c>
      <c r="AA30" s="79">
        <v>169.358142400454</v>
      </c>
      <c r="AB30" s="79">
        <v>0</v>
      </c>
      <c r="AC30" s="79">
        <v>0</v>
      </c>
      <c r="AD30" s="79">
        <v>0</v>
      </c>
      <c r="AE30" s="79">
        <v>13.870273596973499</v>
      </c>
      <c r="AF30" s="79">
        <v>0.31329662942240599</v>
      </c>
      <c r="AG30" s="79">
        <v>0</v>
      </c>
      <c r="AH30" s="79">
        <v>0</v>
      </c>
      <c r="AI30" s="79">
        <v>0</v>
      </c>
      <c r="AJ30" s="79">
        <v>-17.795815330917002</v>
      </c>
      <c r="AK30" s="79">
        <v>0</v>
      </c>
      <c r="AL30" s="79">
        <v>22.963591000854802</v>
      </c>
      <c r="AM30" s="79">
        <v>0</v>
      </c>
      <c r="AN30" s="79">
        <v>176.30548445693299</v>
      </c>
      <c r="AO30" s="79">
        <v>0</v>
      </c>
      <c r="AP30" s="79">
        <v>0</v>
      </c>
      <c r="AQ30" s="79">
        <v>0</v>
      </c>
      <c r="AR30" s="79">
        <v>0</v>
      </c>
      <c r="AS30" s="79">
        <v>0</v>
      </c>
      <c r="AT30" s="80">
        <v>3.9824920530800201</v>
      </c>
    </row>
    <row r="31" spans="2:46" ht="12" customHeight="1" x14ac:dyDescent="0.25">
      <c r="B31" s="78" t="s">
        <v>40</v>
      </c>
      <c r="C31" s="79" t="s">
        <v>87</v>
      </c>
      <c r="D31" s="79" t="s">
        <v>41</v>
      </c>
      <c r="E31" s="79" t="s">
        <v>25</v>
      </c>
      <c r="F31" s="79" t="s">
        <v>25</v>
      </c>
      <c r="G31" s="79" t="s">
        <v>37</v>
      </c>
      <c r="H31" s="79" t="s">
        <v>73</v>
      </c>
      <c r="I31" s="79" t="s">
        <v>25</v>
      </c>
      <c r="J31" s="79">
        <v>1304.3599999999999</v>
      </c>
      <c r="K31" s="79">
        <v>185.46</v>
      </c>
      <c r="L31" s="79">
        <v>0</v>
      </c>
      <c r="M31" s="79">
        <v>1.2357751655929099</v>
      </c>
      <c r="N31" s="79">
        <v>0</v>
      </c>
      <c r="O31" s="79">
        <v>0</v>
      </c>
      <c r="P31" s="79">
        <v>0</v>
      </c>
      <c r="Q31" s="79">
        <v>84.958522916214307</v>
      </c>
      <c r="R31" s="79">
        <v>13.420702857782601</v>
      </c>
      <c r="S31" s="79">
        <v>0</v>
      </c>
      <c r="T31" s="79">
        <v>0</v>
      </c>
      <c r="U31" s="79">
        <v>0</v>
      </c>
      <c r="V31" s="79">
        <v>0</v>
      </c>
      <c r="W31" s="79">
        <v>0</v>
      </c>
      <c r="X31" s="79">
        <v>343.77525578678001</v>
      </c>
      <c r="Y31" s="79">
        <v>0</v>
      </c>
      <c r="Z31" s="79">
        <v>0</v>
      </c>
      <c r="AA31" s="79">
        <v>846.79098270567602</v>
      </c>
      <c r="AB31" s="79">
        <v>0</v>
      </c>
      <c r="AC31" s="79">
        <v>0</v>
      </c>
      <c r="AD31" s="79">
        <v>0</v>
      </c>
      <c r="AE31" s="79">
        <v>13.870273596973499</v>
      </c>
      <c r="AF31" s="79">
        <v>0.31329662942240599</v>
      </c>
      <c r="AG31" s="79">
        <v>0</v>
      </c>
      <c r="AH31" s="79">
        <v>0</v>
      </c>
      <c r="AI31" s="79">
        <v>0</v>
      </c>
      <c r="AJ31" s="79">
        <v>-17.795815330917002</v>
      </c>
      <c r="AK31" s="79">
        <v>0</v>
      </c>
      <c r="AL31" s="79">
        <v>22.963591000854802</v>
      </c>
      <c r="AM31" s="79">
        <v>0</v>
      </c>
      <c r="AN31" s="79">
        <v>176.30548445693299</v>
      </c>
      <c r="AO31" s="79">
        <v>0</v>
      </c>
      <c r="AP31" s="79">
        <v>0</v>
      </c>
      <c r="AQ31" s="79">
        <v>0</v>
      </c>
      <c r="AR31" s="79">
        <v>0</v>
      </c>
      <c r="AS31" s="79">
        <v>0</v>
      </c>
      <c r="AT31" s="80">
        <v>3.9824920530800201</v>
      </c>
    </row>
    <row r="32" spans="2:46" ht="12" customHeight="1" x14ac:dyDescent="0.25">
      <c r="B32" s="78" t="s">
        <v>40</v>
      </c>
      <c r="C32" s="79" t="s">
        <v>87</v>
      </c>
      <c r="D32" s="79" t="s">
        <v>41</v>
      </c>
      <c r="E32" s="79" t="s">
        <v>25</v>
      </c>
      <c r="F32" s="79" t="s">
        <v>25</v>
      </c>
      <c r="G32" s="79" t="s">
        <v>559</v>
      </c>
      <c r="H32" s="79" t="s">
        <v>73</v>
      </c>
      <c r="I32" s="79" t="s">
        <v>25</v>
      </c>
      <c r="J32" s="79">
        <v>828.14</v>
      </c>
      <c r="K32" s="79">
        <v>185.46</v>
      </c>
      <c r="L32" s="79">
        <v>0</v>
      </c>
      <c r="M32" s="79">
        <v>1.2357751655929099</v>
      </c>
      <c r="N32" s="79">
        <v>0</v>
      </c>
      <c r="O32" s="79">
        <v>0</v>
      </c>
      <c r="P32" s="79">
        <v>0</v>
      </c>
      <c r="Q32" s="79">
        <v>84.958522916214307</v>
      </c>
      <c r="R32" s="79">
        <v>13.420702857782601</v>
      </c>
      <c r="S32" s="79">
        <v>0</v>
      </c>
      <c r="T32" s="79">
        <v>0</v>
      </c>
      <c r="U32" s="79">
        <v>0</v>
      </c>
      <c r="V32" s="79">
        <v>0</v>
      </c>
      <c r="W32" s="79">
        <v>0</v>
      </c>
      <c r="X32" s="79">
        <v>206.26711605166901</v>
      </c>
      <c r="Y32" s="79">
        <v>0</v>
      </c>
      <c r="Z32" s="79">
        <v>0</v>
      </c>
      <c r="AA32" s="79">
        <v>508.07456255306499</v>
      </c>
      <c r="AB32" s="79">
        <v>0</v>
      </c>
      <c r="AC32" s="79">
        <v>0</v>
      </c>
      <c r="AD32" s="79">
        <v>0</v>
      </c>
      <c r="AE32" s="79">
        <v>13.870273596973499</v>
      </c>
      <c r="AF32" s="79">
        <v>0.31329662942240599</v>
      </c>
      <c r="AG32" s="79">
        <v>0</v>
      </c>
      <c r="AH32" s="79">
        <v>0</v>
      </c>
      <c r="AI32" s="79">
        <v>0</v>
      </c>
      <c r="AJ32" s="79">
        <v>-17.795815330917002</v>
      </c>
      <c r="AK32" s="79">
        <v>0</v>
      </c>
      <c r="AL32" s="79">
        <v>22.963591000854802</v>
      </c>
      <c r="AM32" s="79">
        <v>0</v>
      </c>
      <c r="AN32" s="79">
        <v>176.30548445693299</v>
      </c>
      <c r="AO32" s="79">
        <v>0</v>
      </c>
      <c r="AP32" s="79">
        <v>0</v>
      </c>
      <c r="AQ32" s="79">
        <v>0</v>
      </c>
      <c r="AR32" s="79">
        <v>0</v>
      </c>
      <c r="AS32" s="79">
        <v>0</v>
      </c>
      <c r="AT32" s="80">
        <v>3.9824920530800201</v>
      </c>
    </row>
    <row r="33" spans="2:46" ht="12" customHeight="1" x14ac:dyDescent="0.25">
      <c r="B33" s="78" t="s">
        <v>40</v>
      </c>
      <c r="C33" s="79" t="s">
        <v>87</v>
      </c>
      <c r="D33" s="79" t="s">
        <v>41</v>
      </c>
      <c r="E33" s="79" t="s">
        <v>25</v>
      </c>
      <c r="F33" s="79" t="s">
        <v>25</v>
      </c>
      <c r="G33" s="79" t="s">
        <v>38</v>
      </c>
      <c r="H33" s="79" t="s">
        <v>73</v>
      </c>
      <c r="I33" s="79" t="s">
        <v>25</v>
      </c>
      <c r="J33" s="79">
        <v>351.92</v>
      </c>
      <c r="K33" s="79">
        <v>185.46</v>
      </c>
      <c r="L33" s="79">
        <v>0</v>
      </c>
      <c r="M33" s="79">
        <v>1.2357751655929099</v>
      </c>
      <c r="N33" s="79">
        <v>0</v>
      </c>
      <c r="O33" s="79">
        <v>0</v>
      </c>
      <c r="P33" s="79">
        <v>0</v>
      </c>
      <c r="Q33" s="79">
        <v>84.958522916214307</v>
      </c>
      <c r="R33" s="79">
        <v>13.420702857782601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68.758976316557707</v>
      </c>
      <c r="Y33" s="79">
        <v>0</v>
      </c>
      <c r="Z33" s="79">
        <v>0</v>
      </c>
      <c r="AA33" s="79">
        <v>169.358142400454</v>
      </c>
      <c r="AB33" s="79">
        <v>0</v>
      </c>
      <c r="AC33" s="79">
        <v>0</v>
      </c>
      <c r="AD33" s="79">
        <v>0</v>
      </c>
      <c r="AE33" s="79">
        <v>13.870273596973499</v>
      </c>
      <c r="AF33" s="79">
        <v>0.31329662942240599</v>
      </c>
      <c r="AG33" s="79">
        <v>0</v>
      </c>
      <c r="AH33" s="79">
        <v>0</v>
      </c>
      <c r="AI33" s="79">
        <v>0</v>
      </c>
      <c r="AJ33" s="79">
        <v>-17.795815330917002</v>
      </c>
      <c r="AK33" s="79">
        <v>0</v>
      </c>
      <c r="AL33" s="79">
        <v>22.963591000854802</v>
      </c>
      <c r="AM33" s="79">
        <v>0</v>
      </c>
      <c r="AN33" s="79">
        <v>176.30548445693299</v>
      </c>
      <c r="AO33" s="79">
        <v>0</v>
      </c>
      <c r="AP33" s="79">
        <v>0</v>
      </c>
      <c r="AQ33" s="79">
        <v>0</v>
      </c>
      <c r="AR33" s="79">
        <v>0</v>
      </c>
      <c r="AS33" s="79">
        <v>0</v>
      </c>
      <c r="AT33" s="80">
        <v>3.9824920530800201</v>
      </c>
    </row>
    <row r="34" spans="2:46" ht="12" customHeight="1" x14ac:dyDescent="0.25">
      <c r="B34" s="78" t="s">
        <v>40</v>
      </c>
      <c r="C34" s="79" t="s">
        <v>87</v>
      </c>
      <c r="D34" s="79" t="s">
        <v>41</v>
      </c>
      <c r="E34" s="79" t="s">
        <v>91</v>
      </c>
      <c r="F34" s="79" t="s">
        <v>25</v>
      </c>
      <c r="G34" s="79" t="s">
        <v>37</v>
      </c>
      <c r="H34" s="79" t="s">
        <v>73</v>
      </c>
      <c r="I34" s="79" t="s">
        <v>25</v>
      </c>
      <c r="J34" s="79">
        <v>1276.6099999999999</v>
      </c>
      <c r="K34" s="79">
        <v>181.51</v>
      </c>
      <c r="L34" s="79">
        <v>0</v>
      </c>
      <c r="M34" s="79">
        <v>1.2094820769632699</v>
      </c>
      <c r="N34" s="79">
        <v>0</v>
      </c>
      <c r="O34" s="79">
        <v>0</v>
      </c>
      <c r="P34" s="79">
        <v>0</v>
      </c>
      <c r="Q34" s="79">
        <v>83.150894769060798</v>
      </c>
      <c r="R34" s="79">
        <v>13.1351559884681</v>
      </c>
      <c r="S34" s="79">
        <v>0</v>
      </c>
      <c r="T34" s="79">
        <v>0</v>
      </c>
      <c r="U34" s="79">
        <v>0</v>
      </c>
      <c r="V34" s="79">
        <v>0</v>
      </c>
      <c r="W34" s="79">
        <v>0</v>
      </c>
      <c r="X34" s="79">
        <v>336.46088864237998</v>
      </c>
      <c r="Y34" s="79">
        <v>0</v>
      </c>
      <c r="Z34" s="79">
        <v>0</v>
      </c>
      <c r="AA34" s="79">
        <v>828.774153286407</v>
      </c>
      <c r="AB34" s="79">
        <v>0</v>
      </c>
      <c r="AC34" s="79">
        <v>0</v>
      </c>
      <c r="AD34" s="79">
        <v>0</v>
      </c>
      <c r="AE34" s="79">
        <v>13.575161392782601</v>
      </c>
      <c r="AF34" s="79">
        <v>0.30663074369001397</v>
      </c>
      <c r="AG34" s="79">
        <v>0</v>
      </c>
      <c r="AH34" s="79">
        <v>0</v>
      </c>
      <c r="AI34" s="79">
        <v>0</v>
      </c>
      <c r="AJ34" s="79">
        <v>-17.417180962174101</v>
      </c>
      <c r="AK34" s="79">
        <v>0</v>
      </c>
      <c r="AL34" s="79">
        <v>22.475003958283398</v>
      </c>
      <c r="AM34" s="79">
        <v>0</v>
      </c>
      <c r="AN34" s="79">
        <v>172.55430393657301</v>
      </c>
      <c r="AO34" s="79">
        <v>0</v>
      </c>
      <c r="AP34" s="79">
        <v>0</v>
      </c>
      <c r="AQ34" s="79">
        <v>0</v>
      </c>
      <c r="AR34" s="79">
        <v>0</v>
      </c>
      <c r="AS34" s="79">
        <v>0</v>
      </c>
      <c r="AT34" s="80">
        <v>3.8977581796102299</v>
      </c>
    </row>
    <row r="35" spans="2:46" ht="12" customHeight="1" x14ac:dyDescent="0.25">
      <c r="B35" s="78" t="s">
        <v>40</v>
      </c>
      <c r="C35" s="79" t="s">
        <v>87</v>
      </c>
      <c r="D35" s="79" t="s">
        <v>41</v>
      </c>
      <c r="E35" s="79" t="s">
        <v>91</v>
      </c>
      <c r="F35" s="79" t="s">
        <v>25</v>
      </c>
      <c r="G35" s="79" t="s">
        <v>559</v>
      </c>
      <c r="H35" s="79" t="s">
        <v>73</v>
      </c>
      <c r="I35" s="79" t="s">
        <v>25</v>
      </c>
      <c r="J35" s="79">
        <v>810.52</v>
      </c>
      <c r="K35" s="79">
        <v>181.51</v>
      </c>
      <c r="L35" s="79">
        <v>0</v>
      </c>
      <c r="M35" s="79">
        <v>1.2094820769632699</v>
      </c>
      <c r="N35" s="79">
        <v>0</v>
      </c>
      <c r="O35" s="79">
        <v>0</v>
      </c>
      <c r="P35" s="79">
        <v>0</v>
      </c>
      <c r="Q35" s="79">
        <v>83.150894769060798</v>
      </c>
      <c r="R35" s="79">
        <v>13.1351559884681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201.87845400801601</v>
      </c>
      <c r="Y35" s="79">
        <v>0</v>
      </c>
      <c r="Z35" s="79">
        <v>0</v>
      </c>
      <c r="AA35" s="79">
        <v>497.26446547746798</v>
      </c>
      <c r="AB35" s="79">
        <v>0</v>
      </c>
      <c r="AC35" s="79">
        <v>0</v>
      </c>
      <c r="AD35" s="79">
        <v>0</v>
      </c>
      <c r="AE35" s="79">
        <v>13.575161392782601</v>
      </c>
      <c r="AF35" s="79">
        <v>0.30663074369001397</v>
      </c>
      <c r="AG35" s="79">
        <v>0</v>
      </c>
      <c r="AH35" s="79">
        <v>0</v>
      </c>
      <c r="AI35" s="79">
        <v>0</v>
      </c>
      <c r="AJ35" s="79">
        <v>-17.417180962174101</v>
      </c>
      <c r="AK35" s="79">
        <v>0</v>
      </c>
      <c r="AL35" s="79">
        <v>22.475003958283398</v>
      </c>
      <c r="AM35" s="79">
        <v>0</v>
      </c>
      <c r="AN35" s="79">
        <v>172.55430393657301</v>
      </c>
      <c r="AO35" s="79">
        <v>0</v>
      </c>
      <c r="AP35" s="79">
        <v>0</v>
      </c>
      <c r="AQ35" s="79">
        <v>0</v>
      </c>
      <c r="AR35" s="79">
        <v>0</v>
      </c>
      <c r="AS35" s="79">
        <v>0</v>
      </c>
      <c r="AT35" s="80">
        <v>3.8977581796102299</v>
      </c>
    </row>
    <row r="36" spans="2:46" ht="12" customHeight="1" x14ac:dyDescent="0.25">
      <c r="B36" s="78" t="s">
        <v>40</v>
      </c>
      <c r="C36" s="79" t="s">
        <v>87</v>
      </c>
      <c r="D36" s="79" t="s">
        <v>41</v>
      </c>
      <c r="E36" s="79" t="s">
        <v>91</v>
      </c>
      <c r="F36" s="79" t="s">
        <v>25</v>
      </c>
      <c r="G36" s="79" t="s">
        <v>38</v>
      </c>
      <c r="H36" s="79" t="s">
        <v>73</v>
      </c>
      <c r="I36" s="79" t="s">
        <v>25</v>
      </c>
      <c r="J36" s="79">
        <v>344.43</v>
      </c>
      <c r="K36" s="79">
        <v>181.51</v>
      </c>
      <c r="L36" s="79">
        <v>0</v>
      </c>
      <c r="M36" s="79">
        <v>1.2094820769632699</v>
      </c>
      <c r="N36" s="79">
        <v>0</v>
      </c>
      <c r="O36" s="79">
        <v>0</v>
      </c>
      <c r="P36" s="79">
        <v>0</v>
      </c>
      <c r="Q36" s="79">
        <v>83.150894769060798</v>
      </c>
      <c r="R36" s="79">
        <v>13.1351559884681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67.2960193736523</v>
      </c>
      <c r="Y36" s="79">
        <v>0</v>
      </c>
      <c r="Z36" s="79">
        <v>0</v>
      </c>
      <c r="AA36" s="79">
        <v>165.75477766852899</v>
      </c>
      <c r="AB36" s="79">
        <v>0</v>
      </c>
      <c r="AC36" s="79">
        <v>0</v>
      </c>
      <c r="AD36" s="79">
        <v>0</v>
      </c>
      <c r="AE36" s="79">
        <v>13.575161392782601</v>
      </c>
      <c r="AF36" s="79">
        <v>0.30663074369001397</v>
      </c>
      <c r="AG36" s="79">
        <v>0</v>
      </c>
      <c r="AH36" s="79">
        <v>0</v>
      </c>
      <c r="AI36" s="79">
        <v>0</v>
      </c>
      <c r="AJ36" s="79">
        <v>-17.417180962174101</v>
      </c>
      <c r="AK36" s="79">
        <v>0</v>
      </c>
      <c r="AL36" s="79">
        <v>22.475003958283398</v>
      </c>
      <c r="AM36" s="79">
        <v>0</v>
      </c>
      <c r="AN36" s="79">
        <v>172.55430393657301</v>
      </c>
      <c r="AO36" s="79">
        <v>0</v>
      </c>
      <c r="AP36" s="79">
        <v>0</v>
      </c>
      <c r="AQ36" s="79">
        <v>0</v>
      </c>
      <c r="AR36" s="79">
        <v>0</v>
      </c>
      <c r="AS36" s="79">
        <v>0</v>
      </c>
      <c r="AT36" s="80">
        <v>3.8977581796102299</v>
      </c>
    </row>
    <row r="37" spans="2:46" ht="12" customHeight="1" x14ac:dyDescent="0.25">
      <c r="B37" s="78" t="s">
        <v>40</v>
      </c>
      <c r="C37" s="79" t="s">
        <v>23</v>
      </c>
      <c r="D37" s="79" t="s">
        <v>41</v>
      </c>
      <c r="E37" s="79" t="s">
        <v>90</v>
      </c>
      <c r="F37" s="79" t="s">
        <v>25</v>
      </c>
      <c r="G37" s="79" t="s">
        <v>25</v>
      </c>
      <c r="H37" s="79" t="s">
        <v>73</v>
      </c>
      <c r="I37" s="79" t="s">
        <v>25</v>
      </c>
      <c r="J37" s="79">
        <v>497.85</v>
      </c>
      <c r="K37" s="79">
        <v>185.46</v>
      </c>
      <c r="L37" s="79">
        <v>0</v>
      </c>
      <c r="M37" s="79">
        <v>1.2357751655929099</v>
      </c>
      <c r="N37" s="79">
        <v>0</v>
      </c>
      <c r="O37" s="79">
        <v>0</v>
      </c>
      <c r="P37" s="79">
        <v>0</v>
      </c>
      <c r="Q37" s="79">
        <v>84.958522916214307</v>
      </c>
      <c r="R37" s="79">
        <v>13.420702857782601</v>
      </c>
      <c r="S37" s="79">
        <v>0</v>
      </c>
      <c r="T37" s="79">
        <v>0</v>
      </c>
      <c r="U37" s="79">
        <v>0</v>
      </c>
      <c r="V37" s="79">
        <v>0</v>
      </c>
      <c r="W37" s="79">
        <v>0</v>
      </c>
      <c r="X37" s="79">
        <v>110.890653898282</v>
      </c>
      <c r="Y37" s="79">
        <v>0</v>
      </c>
      <c r="Z37" s="79">
        <v>0</v>
      </c>
      <c r="AA37" s="79">
        <v>273.158281095728</v>
      </c>
      <c r="AB37" s="79">
        <v>0</v>
      </c>
      <c r="AC37" s="79">
        <v>0</v>
      </c>
      <c r="AD37" s="79">
        <v>0</v>
      </c>
      <c r="AE37" s="79">
        <v>13.870273596973499</v>
      </c>
      <c r="AF37" s="79">
        <v>0.31329662942240599</v>
      </c>
      <c r="AG37" s="79">
        <v>0</v>
      </c>
      <c r="AH37" s="79">
        <v>0</v>
      </c>
      <c r="AI37" s="79">
        <v>0</v>
      </c>
      <c r="AJ37" s="79">
        <v>-17.795815330917002</v>
      </c>
      <c r="AK37" s="79">
        <v>0</v>
      </c>
      <c r="AL37" s="79">
        <v>22.963591000854802</v>
      </c>
      <c r="AM37" s="79">
        <v>0</v>
      </c>
      <c r="AN37" s="79">
        <v>176.30548445693299</v>
      </c>
      <c r="AO37" s="79">
        <v>0</v>
      </c>
      <c r="AP37" s="79">
        <v>0</v>
      </c>
      <c r="AQ37" s="79">
        <v>0</v>
      </c>
      <c r="AR37" s="79">
        <v>0</v>
      </c>
      <c r="AS37" s="79">
        <v>0</v>
      </c>
      <c r="AT37" s="80">
        <v>3.9824920530800201</v>
      </c>
    </row>
    <row r="38" spans="2:46" ht="12" customHeight="1" x14ac:dyDescent="0.25">
      <c r="B38" s="78" t="s">
        <v>40</v>
      </c>
      <c r="C38" s="79" t="s">
        <v>23</v>
      </c>
      <c r="D38" s="79" t="s">
        <v>41</v>
      </c>
      <c r="E38" s="79" t="s">
        <v>25</v>
      </c>
      <c r="F38" s="79" t="s">
        <v>25</v>
      </c>
      <c r="G38" s="79" t="s">
        <v>25</v>
      </c>
      <c r="H38" s="79" t="s">
        <v>73</v>
      </c>
      <c r="I38" s="79" t="s">
        <v>25</v>
      </c>
      <c r="J38" s="79">
        <v>497.85</v>
      </c>
      <c r="K38" s="79">
        <v>185.46</v>
      </c>
      <c r="L38" s="79">
        <v>0</v>
      </c>
      <c r="M38" s="79">
        <v>1.2357751655929099</v>
      </c>
      <c r="N38" s="79">
        <v>0</v>
      </c>
      <c r="O38" s="79">
        <v>0</v>
      </c>
      <c r="P38" s="79">
        <v>0</v>
      </c>
      <c r="Q38" s="79">
        <v>84.958522916214307</v>
      </c>
      <c r="R38" s="79">
        <v>13.420702857782601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110.890653898282</v>
      </c>
      <c r="Y38" s="79">
        <v>0</v>
      </c>
      <c r="Z38" s="79">
        <v>0</v>
      </c>
      <c r="AA38" s="79">
        <v>273.158281095728</v>
      </c>
      <c r="AB38" s="79">
        <v>0</v>
      </c>
      <c r="AC38" s="79">
        <v>0</v>
      </c>
      <c r="AD38" s="79">
        <v>0</v>
      </c>
      <c r="AE38" s="79">
        <v>13.870273596973499</v>
      </c>
      <c r="AF38" s="79">
        <v>0.31329662942240599</v>
      </c>
      <c r="AG38" s="79">
        <v>0</v>
      </c>
      <c r="AH38" s="79">
        <v>0</v>
      </c>
      <c r="AI38" s="79">
        <v>0</v>
      </c>
      <c r="AJ38" s="79">
        <v>-17.795815330917002</v>
      </c>
      <c r="AK38" s="79">
        <v>0</v>
      </c>
      <c r="AL38" s="79">
        <v>22.963591000854802</v>
      </c>
      <c r="AM38" s="79">
        <v>0</v>
      </c>
      <c r="AN38" s="79">
        <v>176.30548445693299</v>
      </c>
      <c r="AO38" s="79">
        <v>0</v>
      </c>
      <c r="AP38" s="79">
        <v>0</v>
      </c>
      <c r="AQ38" s="79">
        <v>0</v>
      </c>
      <c r="AR38" s="79">
        <v>0</v>
      </c>
      <c r="AS38" s="79">
        <v>0</v>
      </c>
      <c r="AT38" s="80">
        <v>3.9824920530800201</v>
      </c>
    </row>
    <row r="39" spans="2:46" ht="12" customHeight="1" x14ac:dyDescent="0.25">
      <c r="B39" s="78" t="s">
        <v>40</v>
      </c>
      <c r="C39" s="79" t="s">
        <v>23</v>
      </c>
      <c r="D39" s="79" t="s">
        <v>41</v>
      </c>
      <c r="E39" s="79" t="s">
        <v>91</v>
      </c>
      <c r="F39" s="79" t="s">
        <v>25</v>
      </c>
      <c r="G39" s="79" t="s">
        <v>25</v>
      </c>
      <c r="H39" s="79" t="s">
        <v>73</v>
      </c>
      <c r="I39" s="79" t="s">
        <v>25</v>
      </c>
      <c r="J39" s="79">
        <v>487.26</v>
      </c>
      <c r="K39" s="79">
        <v>181.51</v>
      </c>
      <c r="L39" s="79">
        <v>0</v>
      </c>
      <c r="M39" s="79">
        <v>1.2094820769632699</v>
      </c>
      <c r="N39" s="79">
        <v>0</v>
      </c>
      <c r="O39" s="79">
        <v>0</v>
      </c>
      <c r="P39" s="79">
        <v>0</v>
      </c>
      <c r="Q39" s="79">
        <v>83.150894769060798</v>
      </c>
      <c r="R39" s="79">
        <v>13.1351559884681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108.531278283425</v>
      </c>
      <c r="Y39" s="79">
        <v>0</v>
      </c>
      <c r="Z39" s="79">
        <v>0</v>
      </c>
      <c r="AA39" s="79">
        <v>267.34640277454298</v>
      </c>
      <c r="AB39" s="79">
        <v>0</v>
      </c>
      <c r="AC39" s="79">
        <v>0</v>
      </c>
      <c r="AD39" s="79">
        <v>0</v>
      </c>
      <c r="AE39" s="79">
        <v>13.575161392782601</v>
      </c>
      <c r="AF39" s="79">
        <v>0.30663074369001397</v>
      </c>
      <c r="AG39" s="79">
        <v>0</v>
      </c>
      <c r="AH39" s="79">
        <v>0</v>
      </c>
      <c r="AI39" s="79">
        <v>0</v>
      </c>
      <c r="AJ39" s="79">
        <v>-17.417180962174101</v>
      </c>
      <c r="AK39" s="79">
        <v>0</v>
      </c>
      <c r="AL39" s="79">
        <v>22.475003958283398</v>
      </c>
      <c r="AM39" s="79">
        <v>0</v>
      </c>
      <c r="AN39" s="79">
        <v>172.55430393657301</v>
      </c>
      <c r="AO39" s="79">
        <v>0</v>
      </c>
      <c r="AP39" s="79">
        <v>0</v>
      </c>
      <c r="AQ39" s="79">
        <v>0</v>
      </c>
      <c r="AR39" s="79">
        <v>0</v>
      </c>
      <c r="AS39" s="79">
        <v>0</v>
      </c>
      <c r="AT39" s="80">
        <v>3.8977581796102299</v>
      </c>
    </row>
    <row r="40" spans="2:46" ht="12" customHeight="1" x14ac:dyDescent="0.25">
      <c r="B40" s="78" t="s">
        <v>40</v>
      </c>
      <c r="C40" s="79" t="s">
        <v>89</v>
      </c>
      <c r="D40" s="79" t="s">
        <v>41</v>
      </c>
      <c r="E40" s="79" t="s">
        <v>90</v>
      </c>
      <c r="F40" s="79" t="s">
        <v>25</v>
      </c>
      <c r="G40" s="79" t="s">
        <v>25</v>
      </c>
      <c r="H40" s="79" t="s">
        <v>73</v>
      </c>
      <c r="I40" s="79" t="s">
        <v>25</v>
      </c>
      <c r="J40" s="79">
        <v>497.85</v>
      </c>
      <c r="K40" s="79">
        <v>185.46</v>
      </c>
      <c r="L40" s="79">
        <v>0</v>
      </c>
      <c r="M40" s="79">
        <v>1.2357751655929099</v>
      </c>
      <c r="N40" s="79">
        <v>0</v>
      </c>
      <c r="O40" s="79">
        <v>0</v>
      </c>
      <c r="P40" s="79">
        <v>0</v>
      </c>
      <c r="Q40" s="79">
        <v>84.958522916214307</v>
      </c>
      <c r="R40" s="79">
        <v>13.420702857782601</v>
      </c>
      <c r="S40" s="79">
        <v>0</v>
      </c>
      <c r="T40" s="79">
        <v>0</v>
      </c>
      <c r="U40" s="79">
        <v>0</v>
      </c>
      <c r="V40" s="79">
        <v>0</v>
      </c>
      <c r="W40" s="79">
        <v>0</v>
      </c>
      <c r="X40" s="79">
        <v>110.890653898282</v>
      </c>
      <c r="Y40" s="79">
        <v>0</v>
      </c>
      <c r="Z40" s="79">
        <v>0</v>
      </c>
      <c r="AA40" s="79">
        <v>273.158281095728</v>
      </c>
      <c r="AB40" s="79">
        <v>0</v>
      </c>
      <c r="AC40" s="79">
        <v>0</v>
      </c>
      <c r="AD40" s="79">
        <v>0</v>
      </c>
      <c r="AE40" s="79">
        <v>13.870273596973499</v>
      </c>
      <c r="AF40" s="79">
        <v>0.31329662942240599</v>
      </c>
      <c r="AG40" s="79">
        <v>0</v>
      </c>
      <c r="AH40" s="79">
        <v>0</v>
      </c>
      <c r="AI40" s="79">
        <v>0</v>
      </c>
      <c r="AJ40" s="79">
        <v>-17.795815330917002</v>
      </c>
      <c r="AK40" s="79">
        <v>0</v>
      </c>
      <c r="AL40" s="79">
        <v>22.963591000854802</v>
      </c>
      <c r="AM40" s="79">
        <v>0</v>
      </c>
      <c r="AN40" s="79">
        <v>176.30548445693299</v>
      </c>
      <c r="AO40" s="79">
        <v>0</v>
      </c>
      <c r="AP40" s="79">
        <v>0</v>
      </c>
      <c r="AQ40" s="79">
        <v>0</v>
      </c>
      <c r="AR40" s="79">
        <v>0</v>
      </c>
      <c r="AS40" s="79">
        <v>0</v>
      </c>
      <c r="AT40" s="80">
        <v>3.9824920530800201</v>
      </c>
    </row>
    <row r="41" spans="2:46" ht="12" customHeight="1" x14ac:dyDescent="0.25">
      <c r="B41" s="78" t="s">
        <v>40</v>
      </c>
      <c r="C41" s="79" t="s">
        <v>89</v>
      </c>
      <c r="D41" s="79" t="s">
        <v>41</v>
      </c>
      <c r="E41" s="79" t="s">
        <v>25</v>
      </c>
      <c r="F41" s="79" t="s">
        <v>25</v>
      </c>
      <c r="G41" s="79" t="s">
        <v>25</v>
      </c>
      <c r="H41" s="79" t="s">
        <v>73</v>
      </c>
      <c r="I41" s="79" t="s">
        <v>25</v>
      </c>
      <c r="J41" s="79">
        <v>497.85</v>
      </c>
      <c r="K41" s="79">
        <v>185.46</v>
      </c>
      <c r="L41" s="79">
        <v>0</v>
      </c>
      <c r="M41" s="79">
        <v>1.2357751655929099</v>
      </c>
      <c r="N41" s="79">
        <v>0</v>
      </c>
      <c r="O41" s="79">
        <v>0</v>
      </c>
      <c r="P41" s="79">
        <v>0</v>
      </c>
      <c r="Q41" s="79">
        <v>84.958522916214307</v>
      </c>
      <c r="R41" s="79">
        <v>13.420702857782601</v>
      </c>
      <c r="S41" s="79">
        <v>0</v>
      </c>
      <c r="T41" s="79">
        <v>0</v>
      </c>
      <c r="U41" s="79">
        <v>0</v>
      </c>
      <c r="V41" s="79">
        <v>0</v>
      </c>
      <c r="W41" s="79">
        <v>0</v>
      </c>
      <c r="X41" s="79">
        <v>110.890653898282</v>
      </c>
      <c r="Y41" s="79">
        <v>0</v>
      </c>
      <c r="Z41" s="79">
        <v>0</v>
      </c>
      <c r="AA41" s="79">
        <v>273.158281095728</v>
      </c>
      <c r="AB41" s="79">
        <v>0</v>
      </c>
      <c r="AC41" s="79">
        <v>0</v>
      </c>
      <c r="AD41" s="79">
        <v>0</v>
      </c>
      <c r="AE41" s="79">
        <v>13.870273596973499</v>
      </c>
      <c r="AF41" s="79">
        <v>0.31329662942240599</v>
      </c>
      <c r="AG41" s="79">
        <v>0</v>
      </c>
      <c r="AH41" s="79">
        <v>0</v>
      </c>
      <c r="AI41" s="79">
        <v>0</v>
      </c>
      <c r="AJ41" s="79">
        <v>-17.795815330917002</v>
      </c>
      <c r="AK41" s="79">
        <v>0</v>
      </c>
      <c r="AL41" s="79">
        <v>22.963591000854802</v>
      </c>
      <c r="AM41" s="79">
        <v>0</v>
      </c>
      <c r="AN41" s="79">
        <v>176.30548445693299</v>
      </c>
      <c r="AO41" s="79">
        <v>0</v>
      </c>
      <c r="AP41" s="79">
        <v>0</v>
      </c>
      <c r="AQ41" s="79">
        <v>0</v>
      </c>
      <c r="AR41" s="79">
        <v>0</v>
      </c>
      <c r="AS41" s="79">
        <v>0</v>
      </c>
      <c r="AT41" s="80">
        <v>3.9824920530800201</v>
      </c>
    </row>
    <row r="42" spans="2:46" ht="12" customHeight="1" x14ac:dyDescent="0.25">
      <c r="B42" s="78" t="s">
        <v>40</v>
      </c>
      <c r="C42" s="79" t="s">
        <v>89</v>
      </c>
      <c r="D42" s="79" t="s">
        <v>41</v>
      </c>
      <c r="E42" s="79" t="s">
        <v>91</v>
      </c>
      <c r="F42" s="79" t="s">
        <v>25</v>
      </c>
      <c r="G42" s="79" t="s">
        <v>25</v>
      </c>
      <c r="H42" s="79" t="s">
        <v>73</v>
      </c>
      <c r="I42" s="79" t="s">
        <v>25</v>
      </c>
      <c r="J42" s="79">
        <v>487.26</v>
      </c>
      <c r="K42" s="79">
        <v>181.51</v>
      </c>
      <c r="L42" s="79">
        <v>0</v>
      </c>
      <c r="M42" s="79">
        <v>1.2094820769632699</v>
      </c>
      <c r="N42" s="79">
        <v>0</v>
      </c>
      <c r="O42" s="79">
        <v>0</v>
      </c>
      <c r="P42" s="79">
        <v>0</v>
      </c>
      <c r="Q42" s="79">
        <v>83.150894769060798</v>
      </c>
      <c r="R42" s="79">
        <v>13.1351559884681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  <c r="X42" s="79">
        <v>108.531278283425</v>
      </c>
      <c r="Y42" s="79">
        <v>0</v>
      </c>
      <c r="Z42" s="79">
        <v>0</v>
      </c>
      <c r="AA42" s="79">
        <v>267.34640277454298</v>
      </c>
      <c r="AB42" s="79">
        <v>0</v>
      </c>
      <c r="AC42" s="79">
        <v>0</v>
      </c>
      <c r="AD42" s="79">
        <v>0</v>
      </c>
      <c r="AE42" s="79">
        <v>13.575161392782601</v>
      </c>
      <c r="AF42" s="79">
        <v>0.30663074369001397</v>
      </c>
      <c r="AG42" s="79">
        <v>0</v>
      </c>
      <c r="AH42" s="79">
        <v>0</v>
      </c>
      <c r="AI42" s="79">
        <v>0</v>
      </c>
      <c r="AJ42" s="79">
        <v>-17.417180962174101</v>
      </c>
      <c r="AK42" s="79">
        <v>0</v>
      </c>
      <c r="AL42" s="79">
        <v>22.475003958283398</v>
      </c>
      <c r="AM42" s="79">
        <v>0</v>
      </c>
      <c r="AN42" s="79">
        <v>172.55430393657301</v>
      </c>
      <c r="AO42" s="79">
        <v>0</v>
      </c>
      <c r="AP42" s="79">
        <v>0</v>
      </c>
      <c r="AQ42" s="79">
        <v>0</v>
      </c>
      <c r="AR42" s="79">
        <v>0</v>
      </c>
      <c r="AS42" s="79">
        <v>0</v>
      </c>
      <c r="AT42" s="80">
        <v>3.8977581796102299</v>
      </c>
    </row>
    <row r="43" spans="2:46" ht="12" customHeight="1" x14ac:dyDescent="0.25">
      <c r="B43" s="78" t="s">
        <v>33</v>
      </c>
      <c r="C43" s="79" t="s">
        <v>87</v>
      </c>
      <c r="D43" s="79" t="s">
        <v>25</v>
      </c>
      <c r="E43" s="79" t="s">
        <v>25</v>
      </c>
      <c r="F43" s="79" t="s">
        <v>25</v>
      </c>
      <c r="G43" s="79" t="s">
        <v>37</v>
      </c>
      <c r="H43" s="79" t="s">
        <v>73</v>
      </c>
      <c r="I43" s="79" t="s">
        <v>25</v>
      </c>
      <c r="J43" s="79">
        <v>1428.47</v>
      </c>
      <c r="K43" s="79">
        <v>197.29</v>
      </c>
      <c r="L43" s="79">
        <v>0</v>
      </c>
      <c r="M43" s="79">
        <v>1.31465443148182</v>
      </c>
      <c r="N43" s="79">
        <v>0</v>
      </c>
      <c r="O43" s="79">
        <v>0</v>
      </c>
      <c r="P43" s="79">
        <v>0</v>
      </c>
      <c r="Q43" s="79">
        <v>90.381407357674803</v>
      </c>
      <c r="R43" s="79">
        <v>14.277343465726201</v>
      </c>
      <c r="S43" s="79">
        <v>0</v>
      </c>
      <c r="T43" s="79">
        <v>0</v>
      </c>
      <c r="U43" s="79">
        <v>0</v>
      </c>
      <c r="V43" s="79">
        <v>0</v>
      </c>
      <c r="W43" s="79">
        <v>0</v>
      </c>
      <c r="X43" s="79">
        <v>377.50949370500598</v>
      </c>
      <c r="Y43" s="79">
        <v>0</v>
      </c>
      <c r="Z43" s="79">
        <v>0</v>
      </c>
      <c r="AA43" s="79">
        <v>929.90076177559195</v>
      </c>
      <c r="AB43" s="79">
        <v>0</v>
      </c>
      <c r="AC43" s="79">
        <v>0</v>
      </c>
      <c r="AD43" s="79">
        <v>0</v>
      </c>
      <c r="AE43" s="79">
        <v>14.755610209546299</v>
      </c>
      <c r="AF43" s="79">
        <v>0.33329428661958099</v>
      </c>
      <c r="AG43" s="79">
        <v>0</v>
      </c>
      <c r="AH43" s="79">
        <v>0</v>
      </c>
      <c r="AI43" s="79">
        <v>0</v>
      </c>
      <c r="AJ43" s="79">
        <v>-18.931718437145701</v>
      </c>
      <c r="AK43" s="79">
        <v>0</v>
      </c>
      <c r="AL43" s="79">
        <v>24.429352128568901</v>
      </c>
      <c r="AM43" s="79">
        <v>0</v>
      </c>
      <c r="AN43" s="79">
        <v>187.55902601801401</v>
      </c>
      <c r="AO43" s="79">
        <v>0</v>
      </c>
      <c r="AP43" s="79">
        <v>0</v>
      </c>
      <c r="AQ43" s="79">
        <v>0</v>
      </c>
      <c r="AR43" s="79">
        <v>0</v>
      </c>
      <c r="AS43" s="79">
        <v>0</v>
      </c>
      <c r="AT43" s="80">
        <v>4.2366936734893796</v>
      </c>
    </row>
    <row r="44" spans="2:46" ht="12" customHeight="1" x14ac:dyDescent="0.25">
      <c r="B44" s="78" t="s">
        <v>33</v>
      </c>
      <c r="C44" s="79" t="s">
        <v>87</v>
      </c>
      <c r="D44" s="79" t="s">
        <v>25</v>
      </c>
      <c r="E44" s="79" t="s">
        <v>25</v>
      </c>
      <c r="F44" s="79" t="s">
        <v>25</v>
      </c>
      <c r="G44" s="79" t="s">
        <v>559</v>
      </c>
      <c r="H44" s="79" t="s">
        <v>73</v>
      </c>
      <c r="I44" s="79" t="s">
        <v>25</v>
      </c>
      <c r="J44" s="79">
        <v>905.51</v>
      </c>
      <c r="K44" s="79">
        <v>197.29</v>
      </c>
      <c r="L44" s="79">
        <v>0</v>
      </c>
      <c r="M44" s="79">
        <v>1.31465443148182</v>
      </c>
      <c r="N44" s="79">
        <v>0</v>
      </c>
      <c r="O44" s="79">
        <v>0</v>
      </c>
      <c r="P44" s="79">
        <v>0</v>
      </c>
      <c r="Q44" s="79">
        <v>90.381407357674803</v>
      </c>
      <c r="R44" s="79">
        <v>14.277343465726201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226.51091584960199</v>
      </c>
      <c r="Y44" s="79">
        <v>0</v>
      </c>
      <c r="Z44" s="79">
        <v>0</v>
      </c>
      <c r="AA44" s="79">
        <v>557.94045706535496</v>
      </c>
      <c r="AB44" s="79">
        <v>0</v>
      </c>
      <c r="AC44" s="79">
        <v>0</v>
      </c>
      <c r="AD44" s="79">
        <v>0</v>
      </c>
      <c r="AE44" s="79">
        <v>14.755610209546299</v>
      </c>
      <c r="AF44" s="79">
        <v>0.33329428661958099</v>
      </c>
      <c r="AG44" s="79">
        <v>0</v>
      </c>
      <c r="AH44" s="79">
        <v>0</v>
      </c>
      <c r="AI44" s="79">
        <v>0</v>
      </c>
      <c r="AJ44" s="79">
        <v>-18.931718437145701</v>
      </c>
      <c r="AK44" s="79">
        <v>0</v>
      </c>
      <c r="AL44" s="79">
        <v>24.429352128568901</v>
      </c>
      <c r="AM44" s="79">
        <v>0</v>
      </c>
      <c r="AN44" s="79">
        <v>187.55902601801401</v>
      </c>
      <c r="AO44" s="79">
        <v>0</v>
      </c>
      <c r="AP44" s="79">
        <v>0</v>
      </c>
      <c r="AQ44" s="79">
        <v>0</v>
      </c>
      <c r="AR44" s="79">
        <v>0</v>
      </c>
      <c r="AS44" s="79">
        <v>0</v>
      </c>
      <c r="AT44" s="80">
        <v>4.2366936734893796</v>
      </c>
    </row>
    <row r="45" spans="2:46" ht="12" customHeight="1" x14ac:dyDescent="0.25">
      <c r="B45" s="78" t="s">
        <v>33</v>
      </c>
      <c r="C45" s="79" t="s">
        <v>87</v>
      </c>
      <c r="D45" s="79" t="s">
        <v>25</v>
      </c>
      <c r="E45" s="79" t="s">
        <v>25</v>
      </c>
      <c r="F45" s="79" t="s">
        <v>25</v>
      </c>
      <c r="G45" s="79" t="s">
        <v>38</v>
      </c>
      <c r="H45" s="79" t="s">
        <v>73</v>
      </c>
      <c r="I45" s="79" t="s">
        <v>25</v>
      </c>
      <c r="J45" s="79">
        <v>382.54</v>
      </c>
      <c r="K45" s="79">
        <v>197.29</v>
      </c>
      <c r="L45" s="79">
        <v>0</v>
      </c>
      <c r="M45" s="79">
        <v>1.31465443148182</v>
      </c>
      <c r="N45" s="79">
        <v>0</v>
      </c>
      <c r="O45" s="79">
        <v>0</v>
      </c>
      <c r="P45" s="79">
        <v>0</v>
      </c>
      <c r="Q45" s="79">
        <v>90.381407357674803</v>
      </c>
      <c r="R45" s="79">
        <v>14.277343465726201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75.501898741001199</v>
      </c>
      <c r="Y45" s="79">
        <v>0</v>
      </c>
      <c r="Z45" s="79">
        <v>0</v>
      </c>
      <c r="AA45" s="79">
        <v>185.98015235511801</v>
      </c>
      <c r="AB45" s="79">
        <v>0</v>
      </c>
      <c r="AC45" s="79">
        <v>0</v>
      </c>
      <c r="AD45" s="79">
        <v>0</v>
      </c>
      <c r="AE45" s="79">
        <v>14.755610209546299</v>
      </c>
      <c r="AF45" s="79">
        <v>0.33329428661958099</v>
      </c>
      <c r="AG45" s="79">
        <v>0</v>
      </c>
      <c r="AH45" s="79">
        <v>0</v>
      </c>
      <c r="AI45" s="79">
        <v>0</v>
      </c>
      <c r="AJ45" s="79">
        <v>-18.931718437145701</v>
      </c>
      <c r="AK45" s="79">
        <v>0</v>
      </c>
      <c r="AL45" s="79">
        <v>24.429352128568901</v>
      </c>
      <c r="AM45" s="79">
        <v>0</v>
      </c>
      <c r="AN45" s="79">
        <v>187.55902601801401</v>
      </c>
      <c r="AO45" s="79">
        <v>0</v>
      </c>
      <c r="AP45" s="79">
        <v>0</v>
      </c>
      <c r="AQ45" s="79">
        <v>0</v>
      </c>
      <c r="AR45" s="79">
        <v>0</v>
      </c>
      <c r="AS45" s="79">
        <v>0</v>
      </c>
      <c r="AT45" s="80">
        <v>4.2366936734893796</v>
      </c>
    </row>
    <row r="46" spans="2:46" ht="12" customHeight="1" x14ac:dyDescent="0.25">
      <c r="B46" s="78" t="s">
        <v>33</v>
      </c>
      <c r="C46" s="79" t="s">
        <v>23</v>
      </c>
      <c r="D46" s="79" t="s">
        <v>25</v>
      </c>
      <c r="E46" s="79" t="s">
        <v>25</v>
      </c>
      <c r="F46" s="79" t="s">
        <v>25</v>
      </c>
      <c r="G46" s="79" t="s">
        <v>25</v>
      </c>
      <c r="H46" s="79" t="s">
        <v>73</v>
      </c>
      <c r="I46" s="79" t="s">
        <v>25</v>
      </c>
      <c r="J46" s="79">
        <v>529.63</v>
      </c>
      <c r="K46" s="79">
        <v>197.29</v>
      </c>
      <c r="L46" s="79">
        <v>0</v>
      </c>
      <c r="M46" s="79">
        <v>1.31465443148182</v>
      </c>
      <c r="N46" s="79">
        <v>0</v>
      </c>
      <c r="O46" s="79">
        <v>0</v>
      </c>
      <c r="P46" s="79">
        <v>0</v>
      </c>
      <c r="Q46" s="79">
        <v>90.381407357674803</v>
      </c>
      <c r="R46" s="79">
        <v>14.277343465726201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117.968780742853</v>
      </c>
      <c r="Y46" s="79">
        <v>0</v>
      </c>
      <c r="Z46" s="79">
        <v>0</v>
      </c>
      <c r="AA46" s="79">
        <v>290.59391605928602</v>
      </c>
      <c r="AB46" s="79">
        <v>0</v>
      </c>
      <c r="AC46" s="79">
        <v>0</v>
      </c>
      <c r="AD46" s="79">
        <v>0</v>
      </c>
      <c r="AE46" s="79">
        <v>14.755610209546299</v>
      </c>
      <c r="AF46" s="79">
        <v>0.33329428661958099</v>
      </c>
      <c r="AG46" s="79">
        <v>0</v>
      </c>
      <c r="AH46" s="79">
        <v>0</v>
      </c>
      <c r="AI46" s="79">
        <v>0</v>
      </c>
      <c r="AJ46" s="79">
        <v>-18.931718437145701</v>
      </c>
      <c r="AK46" s="79">
        <v>0</v>
      </c>
      <c r="AL46" s="79">
        <v>24.429352128568901</v>
      </c>
      <c r="AM46" s="79">
        <v>0</v>
      </c>
      <c r="AN46" s="79">
        <v>187.55902601801401</v>
      </c>
      <c r="AO46" s="79">
        <v>0</v>
      </c>
      <c r="AP46" s="79">
        <v>0</v>
      </c>
      <c r="AQ46" s="79">
        <v>0</v>
      </c>
      <c r="AR46" s="79">
        <v>0</v>
      </c>
      <c r="AS46" s="79">
        <v>0</v>
      </c>
      <c r="AT46" s="80">
        <v>4.2366936734893796</v>
      </c>
    </row>
    <row r="47" spans="2:46" ht="12" customHeight="1" x14ac:dyDescent="0.25">
      <c r="B47" s="78" t="s">
        <v>33</v>
      </c>
      <c r="C47" s="79" t="s">
        <v>89</v>
      </c>
      <c r="D47" s="79" t="s">
        <v>25</v>
      </c>
      <c r="E47" s="79" t="s">
        <v>25</v>
      </c>
      <c r="F47" s="79" t="s">
        <v>25</v>
      </c>
      <c r="G47" s="79" t="s">
        <v>25</v>
      </c>
      <c r="H47" s="79" t="s">
        <v>73</v>
      </c>
      <c r="I47" s="79" t="s">
        <v>25</v>
      </c>
      <c r="J47" s="79">
        <v>529.63</v>
      </c>
      <c r="K47" s="79">
        <v>197.29</v>
      </c>
      <c r="L47" s="79">
        <v>0</v>
      </c>
      <c r="M47" s="79">
        <v>1.31465443148182</v>
      </c>
      <c r="N47" s="79">
        <v>0</v>
      </c>
      <c r="O47" s="79">
        <v>0</v>
      </c>
      <c r="P47" s="79">
        <v>0</v>
      </c>
      <c r="Q47" s="79">
        <v>90.381407357674803</v>
      </c>
      <c r="R47" s="79">
        <v>14.277343465726201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117.968780742853</v>
      </c>
      <c r="Y47" s="79">
        <v>0</v>
      </c>
      <c r="Z47" s="79">
        <v>0</v>
      </c>
      <c r="AA47" s="79">
        <v>290.59391605928602</v>
      </c>
      <c r="AB47" s="79">
        <v>0</v>
      </c>
      <c r="AC47" s="79">
        <v>0</v>
      </c>
      <c r="AD47" s="79">
        <v>0</v>
      </c>
      <c r="AE47" s="79">
        <v>14.755610209546299</v>
      </c>
      <c r="AF47" s="79">
        <v>0.33329428661958099</v>
      </c>
      <c r="AG47" s="79">
        <v>0</v>
      </c>
      <c r="AH47" s="79">
        <v>0</v>
      </c>
      <c r="AI47" s="79">
        <v>0</v>
      </c>
      <c r="AJ47" s="79">
        <v>-18.931718437145701</v>
      </c>
      <c r="AK47" s="79">
        <v>0</v>
      </c>
      <c r="AL47" s="79">
        <v>24.429352128568901</v>
      </c>
      <c r="AM47" s="79">
        <v>0</v>
      </c>
      <c r="AN47" s="79">
        <v>187.55902601801401</v>
      </c>
      <c r="AO47" s="79">
        <v>0</v>
      </c>
      <c r="AP47" s="79">
        <v>0</v>
      </c>
      <c r="AQ47" s="79">
        <v>0</v>
      </c>
      <c r="AR47" s="79">
        <v>0</v>
      </c>
      <c r="AS47" s="79">
        <v>0</v>
      </c>
      <c r="AT47" s="80">
        <v>4.2366936734893796</v>
      </c>
    </row>
    <row r="48" spans="2:46" ht="12" customHeight="1" x14ac:dyDescent="0.25">
      <c r="B48" s="78" t="s">
        <v>43</v>
      </c>
      <c r="C48" s="79" t="s">
        <v>23</v>
      </c>
      <c r="D48" s="79" t="s">
        <v>44</v>
      </c>
      <c r="E48" s="79" t="s">
        <v>45</v>
      </c>
      <c r="F48" s="79" t="s">
        <v>25</v>
      </c>
      <c r="G48" s="79" t="s">
        <v>25</v>
      </c>
      <c r="H48" s="79" t="s">
        <v>73</v>
      </c>
      <c r="I48" s="79" t="s">
        <v>25</v>
      </c>
      <c r="J48" s="79">
        <v>291.29000000000002</v>
      </c>
      <c r="K48" s="79">
        <v>108.51</v>
      </c>
      <c r="L48" s="79">
        <v>0</v>
      </c>
      <c r="M48" s="79">
        <v>0.72305993731500096</v>
      </c>
      <c r="N48" s="79">
        <v>0</v>
      </c>
      <c r="O48" s="79">
        <v>0</v>
      </c>
      <c r="P48" s="79">
        <v>0</v>
      </c>
      <c r="Q48" s="79">
        <v>49.709774046721101</v>
      </c>
      <c r="R48" s="79">
        <v>7.8525389061493902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64.882829408569194</v>
      </c>
      <c r="Y48" s="79">
        <v>0</v>
      </c>
      <c r="Z48" s="79">
        <v>0</v>
      </c>
      <c r="AA48" s="79">
        <v>159.82665383260701</v>
      </c>
      <c r="AB48" s="79">
        <v>0</v>
      </c>
      <c r="AC48" s="79">
        <v>0</v>
      </c>
      <c r="AD48" s="79">
        <v>0</v>
      </c>
      <c r="AE48" s="79">
        <v>8.1155856152504509</v>
      </c>
      <c r="AF48" s="79">
        <v>0.18331185764076899</v>
      </c>
      <c r="AG48" s="79">
        <v>0</v>
      </c>
      <c r="AH48" s="79">
        <v>0</v>
      </c>
      <c r="AI48" s="79">
        <v>0</v>
      </c>
      <c r="AJ48" s="79">
        <v>-10.412445140430099</v>
      </c>
      <c r="AK48" s="79">
        <v>0</v>
      </c>
      <c r="AL48" s="79">
        <v>13.4361436707129</v>
      </c>
      <c r="AM48" s="79">
        <v>0</v>
      </c>
      <c r="AN48" s="79">
        <v>103.15746430990799</v>
      </c>
      <c r="AO48" s="79">
        <v>0</v>
      </c>
      <c r="AP48" s="79">
        <v>0</v>
      </c>
      <c r="AQ48" s="79">
        <v>0</v>
      </c>
      <c r="AR48" s="79">
        <v>0</v>
      </c>
      <c r="AS48" s="79">
        <v>0</v>
      </c>
      <c r="AT48" s="80">
        <v>2.3301815204191598</v>
      </c>
    </row>
    <row r="49" spans="2:46" ht="12" customHeight="1" x14ac:dyDescent="0.25">
      <c r="B49" s="81" t="s">
        <v>43</v>
      </c>
      <c r="C49" s="82" t="s">
        <v>23</v>
      </c>
      <c r="D49" s="82" t="s">
        <v>44</v>
      </c>
      <c r="E49" s="82" t="s">
        <v>46</v>
      </c>
      <c r="F49" s="82" t="s">
        <v>25</v>
      </c>
      <c r="G49" s="82" t="s">
        <v>25</v>
      </c>
      <c r="H49" s="82" t="s">
        <v>73</v>
      </c>
      <c r="I49" s="82" t="s">
        <v>25</v>
      </c>
      <c r="J49" s="82">
        <v>317.77999999999997</v>
      </c>
      <c r="K49" s="82">
        <v>118.38</v>
      </c>
      <c r="L49" s="82">
        <v>0</v>
      </c>
      <c r="M49" s="82">
        <v>0.788792658889092</v>
      </c>
      <c r="N49" s="82">
        <v>0</v>
      </c>
      <c r="O49" s="82">
        <v>0</v>
      </c>
      <c r="P49" s="82">
        <v>0</v>
      </c>
      <c r="Q49" s="82">
        <v>54.2288444146049</v>
      </c>
      <c r="R49" s="82">
        <v>8.5664060794356907</v>
      </c>
      <c r="S49" s="82">
        <v>0</v>
      </c>
      <c r="T49" s="82">
        <v>0</v>
      </c>
      <c r="U49" s="82">
        <v>0</v>
      </c>
      <c r="V49" s="82">
        <v>0</v>
      </c>
      <c r="W49" s="82">
        <v>0</v>
      </c>
      <c r="X49" s="82">
        <v>70.781268445711802</v>
      </c>
      <c r="Y49" s="82">
        <v>0</v>
      </c>
      <c r="Z49" s="82">
        <v>0</v>
      </c>
      <c r="AA49" s="82">
        <v>174.35634963557101</v>
      </c>
      <c r="AB49" s="82">
        <v>0</v>
      </c>
      <c r="AC49" s="82">
        <v>0</v>
      </c>
      <c r="AD49" s="82">
        <v>0</v>
      </c>
      <c r="AE49" s="82">
        <v>8.85336612572776</v>
      </c>
      <c r="AF49" s="82">
        <v>0.19997657197174801</v>
      </c>
      <c r="AG49" s="82">
        <v>0</v>
      </c>
      <c r="AH49" s="82">
        <v>0</v>
      </c>
      <c r="AI49" s="82">
        <v>0</v>
      </c>
      <c r="AJ49" s="82">
        <v>-11.3590310622874</v>
      </c>
      <c r="AK49" s="82">
        <v>0</v>
      </c>
      <c r="AL49" s="82">
        <v>14.657611277141299</v>
      </c>
      <c r="AM49" s="82">
        <v>0</v>
      </c>
      <c r="AN49" s="82">
        <v>112.535415610808</v>
      </c>
      <c r="AO49" s="82">
        <v>0</v>
      </c>
      <c r="AP49" s="82">
        <v>0</v>
      </c>
      <c r="AQ49" s="82">
        <v>0</v>
      </c>
      <c r="AR49" s="82">
        <v>0</v>
      </c>
      <c r="AS49" s="82">
        <v>0</v>
      </c>
      <c r="AT49" s="83">
        <v>2.5420162040936298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2F7-4152-4C1C-B3A2-53C5036B3F49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1088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1" t="s">
        <v>412</v>
      </c>
      <c r="M2" s="121"/>
      <c r="N2" s="121"/>
      <c r="O2" s="121"/>
      <c r="P2" s="121"/>
      <c r="Q2" s="121"/>
      <c r="R2" s="121"/>
      <c r="S2" s="122"/>
      <c r="T2" s="121" t="s">
        <v>421</v>
      </c>
      <c r="U2" s="121"/>
      <c r="V2" s="121"/>
      <c r="W2" s="121"/>
      <c r="X2" s="121"/>
      <c r="Y2" s="121"/>
      <c r="Z2" s="122"/>
      <c r="AA2" s="85" t="s">
        <v>429</v>
      </c>
      <c r="AB2" s="121" t="s">
        <v>25</v>
      </c>
      <c r="AC2" s="121"/>
      <c r="AD2" s="122"/>
      <c r="AE2" s="121" t="s">
        <v>1087</v>
      </c>
      <c r="AF2" s="121"/>
      <c r="AG2" s="121"/>
      <c r="AH2" s="122"/>
      <c r="AI2" s="121" t="s">
        <v>412</v>
      </c>
      <c r="AJ2" s="121"/>
      <c r="AK2" s="121"/>
      <c r="AL2" s="121"/>
      <c r="AM2" s="122"/>
      <c r="AN2" s="85" t="s">
        <v>443</v>
      </c>
      <c r="AO2" s="121" t="s">
        <v>421</v>
      </c>
      <c r="AP2" s="121"/>
      <c r="AQ2" s="121"/>
      <c r="AR2" s="121"/>
      <c r="AS2" s="122"/>
      <c r="AT2" s="84" t="s">
        <v>1087</v>
      </c>
    </row>
    <row r="3" spans="2:46" ht="12" customHeight="1" x14ac:dyDescent="0.25">
      <c r="B3" s="75" t="s">
        <v>63</v>
      </c>
      <c r="C3" s="76" t="s">
        <v>64</v>
      </c>
      <c r="D3" s="76" t="s">
        <v>65</v>
      </c>
      <c r="E3" s="76" t="s">
        <v>66</v>
      </c>
      <c r="F3" s="76" t="s">
        <v>67</v>
      </c>
      <c r="G3" s="76" t="s">
        <v>69</v>
      </c>
      <c r="H3" s="76" t="s">
        <v>70</v>
      </c>
      <c r="I3" s="76" t="s">
        <v>690</v>
      </c>
      <c r="J3" s="76" t="s">
        <v>1049</v>
      </c>
      <c r="K3" s="76" t="s">
        <v>1050</v>
      </c>
      <c r="L3" s="76" t="s">
        <v>1051</v>
      </c>
      <c r="M3" s="76" t="s">
        <v>1052</v>
      </c>
      <c r="N3" s="76" t="s">
        <v>1053</v>
      </c>
      <c r="O3" s="76" t="s">
        <v>1054</v>
      </c>
      <c r="P3" s="76" t="s">
        <v>1055</v>
      </c>
      <c r="Q3" s="76" t="s">
        <v>1056</v>
      </c>
      <c r="R3" s="76" t="s">
        <v>1057</v>
      </c>
      <c r="S3" s="76" t="s">
        <v>1058</v>
      </c>
      <c r="T3" s="76" t="s">
        <v>1059</v>
      </c>
      <c r="U3" s="76" t="s">
        <v>1060</v>
      </c>
      <c r="V3" s="76" t="s">
        <v>1061</v>
      </c>
      <c r="W3" s="76" t="s">
        <v>1062</v>
      </c>
      <c r="X3" s="76" t="s">
        <v>1063</v>
      </c>
      <c r="Y3" s="76" t="s">
        <v>1064</v>
      </c>
      <c r="Z3" s="76" t="s">
        <v>1065</v>
      </c>
      <c r="AA3" s="76" t="s">
        <v>1066</v>
      </c>
      <c r="AB3" s="76" t="s">
        <v>1067</v>
      </c>
      <c r="AC3" s="76" t="s">
        <v>1068</v>
      </c>
      <c r="AD3" s="76" t="s">
        <v>1069</v>
      </c>
      <c r="AE3" s="76" t="s">
        <v>1070</v>
      </c>
      <c r="AF3" s="76" t="s">
        <v>1071</v>
      </c>
      <c r="AG3" s="76" t="s">
        <v>1072</v>
      </c>
      <c r="AH3" s="76" t="s">
        <v>1073</v>
      </c>
      <c r="AI3" s="76" t="s">
        <v>1074</v>
      </c>
      <c r="AJ3" s="76" t="s">
        <v>1075</v>
      </c>
      <c r="AK3" s="76" t="s">
        <v>1076</v>
      </c>
      <c r="AL3" s="76" t="s">
        <v>1077</v>
      </c>
      <c r="AM3" s="76" t="s">
        <v>1078</v>
      </c>
      <c r="AN3" s="76" t="s">
        <v>1079</v>
      </c>
      <c r="AO3" s="76" t="s">
        <v>1080</v>
      </c>
      <c r="AP3" s="76" t="s">
        <v>1081</v>
      </c>
      <c r="AQ3" s="76" t="s">
        <v>1082</v>
      </c>
      <c r="AR3" s="76" t="s">
        <v>1083</v>
      </c>
      <c r="AS3" s="76" t="s">
        <v>1084</v>
      </c>
      <c r="AT3" s="77" t="s">
        <v>1085</v>
      </c>
    </row>
    <row r="4" spans="2:46" ht="12" customHeight="1" x14ac:dyDescent="0.25">
      <c r="B4" s="78" t="s">
        <v>35</v>
      </c>
      <c r="C4" s="79" t="s">
        <v>54</v>
      </c>
      <c r="D4" s="79" t="s">
        <v>25</v>
      </c>
      <c r="E4" s="79" t="s">
        <v>25</v>
      </c>
      <c r="F4" s="79" t="s">
        <v>80</v>
      </c>
      <c r="G4" s="79" t="s">
        <v>37</v>
      </c>
      <c r="H4" s="79" t="s">
        <v>73</v>
      </c>
      <c r="I4" s="79" t="s">
        <v>25</v>
      </c>
      <c r="J4" s="79">
        <v>0</v>
      </c>
      <c r="K4" s="79">
        <v>0</v>
      </c>
      <c r="L4" s="79">
        <v>0</v>
      </c>
      <c r="M4" s="79">
        <v>0</v>
      </c>
      <c r="N4" s="79">
        <v>0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X4" s="79">
        <v>0</v>
      </c>
      <c r="Y4" s="79">
        <v>0</v>
      </c>
      <c r="Z4" s="79">
        <v>0</v>
      </c>
      <c r="AA4" s="79">
        <v>0</v>
      </c>
      <c r="AB4" s="79">
        <v>0</v>
      </c>
      <c r="AC4" s="79">
        <v>0</v>
      </c>
      <c r="AD4" s="79">
        <v>0</v>
      </c>
      <c r="AE4" s="79">
        <v>0</v>
      </c>
      <c r="AF4" s="79">
        <v>0</v>
      </c>
      <c r="AG4" s="79">
        <v>0</v>
      </c>
      <c r="AH4" s="79">
        <v>0</v>
      </c>
      <c r="AI4" s="79">
        <v>0</v>
      </c>
      <c r="AJ4" s="79">
        <v>0</v>
      </c>
      <c r="AK4" s="79">
        <v>0</v>
      </c>
      <c r="AL4" s="79">
        <v>0</v>
      </c>
      <c r="AM4" s="79">
        <v>0</v>
      </c>
      <c r="AN4" s="79">
        <v>0</v>
      </c>
      <c r="AO4" s="79">
        <v>0</v>
      </c>
      <c r="AP4" s="79">
        <v>0</v>
      </c>
      <c r="AQ4" s="79">
        <v>0</v>
      </c>
      <c r="AR4" s="79">
        <v>0</v>
      </c>
      <c r="AS4" s="79">
        <v>0</v>
      </c>
      <c r="AT4" s="80">
        <v>0</v>
      </c>
    </row>
    <row r="5" spans="2:46" ht="12" customHeight="1" x14ac:dyDescent="0.25">
      <c r="B5" s="78" t="s">
        <v>35</v>
      </c>
      <c r="C5" s="79" t="s">
        <v>54</v>
      </c>
      <c r="D5" s="79" t="s">
        <v>25</v>
      </c>
      <c r="E5" s="79" t="s">
        <v>25</v>
      </c>
      <c r="F5" s="79" t="s">
        <v>80</v>
      </c>
      <c r="G5" s="79" t="s">
        <v>37</v>
      </c>
      <c r="H5" s="79" t="s">
        <v>76</v>
      </c>
      <c r="I5" s="79" t="s">
        <v>25</v>
      </c>
      <c r="J5" s="79">
        <v>0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  <c r="P5" s="79">
        <v>0</v>
      </c>
      <c r="Q5" s="79">
        <v>0</v>
      </c>
      <c r="R5" s="79">
        <v>0</v>
      </c>
      <c r="S5" s="79">
        <v>0</v>
      </c>
      <c r="T5" s="79">
        <v>0</v>
      </c>
      <c r="U5" s="79">
        <v>0</v>
      </c>
      <c r="V5" s="79">
        <v>0</v>
      </c>
      <c r="W5" s="79">
        <v>0</v>
      </c>
      <c r="X5" s="79">
        <v>0</v>
      </c>
      <c r="Y5" s="79">
        <v>0</v>
      </c>
      <c r="Z5" s="79">
        <v>0</v>
      </c>
      <c r="AA5" s="79">
        <v>0</v>
      </c>
      <c r="AB5" s="79">
        <v>0</v>
      </c>
      <c r="AC5" s="79">
        <v>0</v>
      </c>
      <c r="AD5" s="79">
        <v>0</v>
      </c>
      <c r="AE5" s="79">
        <v>0</v>
      </c>
      <c r="AF5" s="79">
        <v>0</v>
      </c>
      <c r="AG5" s="79">
        <v>0</v>
      </c>
      <c r="AH5" s="79">
        <v>0</v>
      </c>
      <c r="AI5" s="79">
        <v>0</v>
      </c>
      <c r="AJ5" s="79">
        <v>0</v>
      </c>
      <c r="AK5" s="79">
        <v>0</v>
      </c>
      <c r="AL5" s="79">
        <v>0</v>
      </c>
      <c r="AM5" s="79">
        <v>0</v>
      </c>
      <c r="AN5" s="79">
        <v>0</v>
      </c>
      <c r="AO5" s="79">
        <v>0</v>
      </c>
      <c r="AP5" s="79">
        <v>0</v>
      </c>
      <c r="AQ5" s="79">
        <v>0</v>
      </c>
      <c r="AR5" s="79">
        <v>0</v>
      </c>
      <c r="AS5" s="79">
        <v>0</v>
      </c>
      <c r="AT5" s="80">
        <v>0</v>
      </c>
    </row>
    <row r="6" spans="2:46" ht="12" customHeight="1" x14ac:dyDescent="0.25">
      <c r="B6" s="78" t="s">
        <v>35</v>
      </c>
      <c r="C6" s="79" t="s">
        <v>54</v>
      </c>
      <c r="D6" s="79" t="s">
        <v>25</v>
      </c>
      <c r="E6" s="79" t="s">
        <v>25</v>
      </c>
      <c r="F6" s="79" t="s">
        <v>80</v>
      </c>
      <c r="G6" s="79" t="s">
        <v>38</v>
      </c>
      <c r="H6" s="79" t="s">
        <v>73</v>
      </c>
      <c r="I6" s="79" t="s">
        <v>25</v>
      </c>
      <c r="J6" s="79">
        <v>0</v>
      </c>
      <c r="K6" s="79">
        <v>0</v>
      </c>
      <c r="L6" s="79">
        <v>0</v>
      </c>
      <c r="M6" s="79">
        <v>0</v>
      </c>
      <c r="N6" s="79">
        <v>0</v>
      </c>
      <c r="O6" s="79">
        <v>0</v>
      </c>
      <c r="P6" s="79">
        <v>0</v>
      </c>
      <c r="Q6" s="79">
        <v>0</v>
      </c>
      <c r="R6" s="79">
        <v>0</v>
      </c>
      <c r="S6" s="79">
        <v>0</v>
      </c>
      <c r="T6" s="79">
        <v>0</v>
      </c>
      <c r="U6" s="79">
        <v>0</v>
      </c>
      <c r="V6" s="79">
        <v>0</v>
      </c>
      <c r="W6" s="79">
        <v>0</v>
      </c>
      <c r="X6" s="79">
        <v>0</v>
      </c>
      <c r="Y6" s="79">
        <v>0</v>
      </c>
      <c r="Z6" s="79">
        <v>0</v>
      </c>
      <c r="AA6" s="79">
        <v>0</v>
      </c>
      <c r="AB6" s="79">
        <v>0</v>
      </c>
      <c r="AC6" s="79">
        <v>0</v>
      </c>
      <c r="AD6" s="79">
        <v>0</v>
      </c>
      <c r="AE6" s="79">
        <v>0</v>
      </c>
      <c r="AF6" s="79">
        <v>0</v>
      </c>
      <c r="AG6" s="79">
        <v>0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0</v>
      </c>
      <c r="AN6" s="79">
        <v>0</v>
      </c>
      <c r="AO6" s="79">
        <v>0</v>
      </c>
      <c r="AP6" s="79">
        <v>0</v>
      </c>
      <c r="AQ6" s="79">
        <v>0</v>
      </c>
      <c r="AR6" s="79">
        <v>0</v>
      </c>
      <c r="AS6" s="79">
        <v>0</v>
      </c>
      <c r="AT6" s="80">
        <v>0</v>
      </c>
    </row>
    <row r="7" spans="2:46" ht="12" customHeight="1" x14ac:dyDescent="0.25">
      <c r="B7" s="78" t="s">
        <v>35</v>
      </c>
      <c r="C7" s="79" t="s">
        <v>54</v>
      </c>
      <c r="D7" s="79" t="s">
        <v>25</v>
      </c>
      <c r="E7" s="79" t="s">
        <v>25</v>
      </c>
      <c r="F7" s="79" t="s">
        <v>80</v>
      </c>
      <c r="G7" s="79" t="s">
        <v>38</v>
      </c>
      <c r="H7" s="79" t="s">
        <v>76</v>
      </c>
      <c r="I7" s="79" t="s">
        <v>25</v>
      </c>
      <c r="J7" s="79"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0</v>
      </c>
      <c r="Y7" s="79">
        <v>0</v>
      </c>
      <c r="Z7" s="79">
        <v>0</v>
      </c>
      <c r="AA7" s="79">
        <v>0</v>
      </c>
      <c r="AB7" s="79">
        <v>0</v>
      </c>
      <c r="AC7" s="79">
        <v>0</v>
      </c>
      <c r="AD7" s="79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  <c r="AN7" s="79">
        <v>0</v>
      </c>
      <c r="AO7" s="79">
        <v>0</v>
      </c>
      <c r="AP7" s="79">
        <v>0</v>
      </c>
      <c r="AQ7" s="79">
        <v>0</v>
      </c>
      <c r="AR7" s="79">
        <v>0</v>
      </c>
      <c r="AS7" s="79">
        <v>0</v>
      </c>
      <c r="AT7" s="80">
        <v>0</v>
      </c>
    </row>
    <row r="8" spans="2:46" ht="12" customHeight="1" x14ac:dyDescent="0.25">
      <c r="B8" s="78" t="s">
        <v>35</v>
      </c>
      <c r="C8" s="79" t="s">
        <v>54</v>
      </c>
      <c r="D8" s="79" t="s">
        <v>25</v>
      </c>
      <c r="E8" s="79" t="s">
        <v>25</v>
      </c>
      <c r="F8" s="79" t="s">
        <v>25</v>
      </c>
      <c r="G8" s="79" t="s">
        <v>37</v>
      </c>
      <c r="H8" s="79" t="s">
        <v>73</v>
      </c>
      <c r="I8" s="79" t="s">
        <v>25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  <c r="AI8" s="79">
        <v>0</v>
      </c>
      <c r="AJ8" s="79">
        <v>0</v>
      </c>
      <c r="AK8" s="79">
        <v>0</v>
      </c>
      <c r="AL8" s="79">
        <v>0</v>
      </c>
      <c r="AM8" s="79">
        <v>0</v>
      </c>
      <c r="AN8" s="79">
        <v>0</v>
      </c>
      <c r="AO8" s="79">
        <v>0</v>
      </c>
      <c r="AP8" s="79">
        <v>0</v>
      </c>
      <c r="AQ8" s="79">
        <v>0</v>
      </c>
      <c r="AR8" s="79">
        <v>0</v>
      </c>
      <c r="AS8" s="79">
        <v>0</v>
      </c>
      <c r="AT8" s="80">
        <v>0</v>
      </c>
    </row>
    <row r="9" spans="2:46" ht="12" customHeight="1" x14ac:dyDescent="0.25">
      <c r="B9" s="78" t="s">
        <v>35</v>
      </c>
      <c r="C9" s="79" t="s">
        <v>54</v>
      </c>
      <c r="D9" s="79" t="s">
        <v>25</v>
      </c>
      <c r="E9" s="79" t="s">
        <v>25</v>
      </c>
      <c r="F9" s="79" t="s">
        <v>25</v>
      </c>
      <c r="G9" s="79" t="s">
        <v>37</v>
      </c>
      <c r="H9" s="79" t="s">
        <v>76</v>
      </c>
      <c r="I9" s="79" t="s">
        <v>25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  <c r="AI9" s="79">
        <v>0</v>
      </c>
      <c r="AJ9" s="79">
        <v>0</v>
      </c>
      <c r="AK9" s="79">
        <v>0</v>
      </c>
      <c r="AL9" s="79">
        <v>0</v>
      </c>
      <c r="AM9" s="79">
        <v>0</v>
      </c>
      <c r="AN9" s="79">
        <v>0</v>
      </c>
      <c r="AO9" s="79">
        <v>0</v>
      </c>
      <c r="AP9" s="79">
        <v>0</v>
      </c>
      <c r="AQ9" s="79">
        <v>0</v>
      </c>
      <c r="AR9" s="79">
        <v>0</v>
      </c>
      <c r="AS9" s="79">
        <v>0</v>
      </c>
      <c r="AT9" s="80">
        <v>0</v>
      </c>
    </row>
    <row r="10" spans="2:46" ht="12" customHeight="1" x14ac:dyDescent="0.25">
      <c r="B10" s="78" t="s">
        <v>35</v>
      </c>
      <c r="C10" s="79" t="s">
        <v>54</v>
      </c>
      <c r="D10" s="79" t="s">
        <v>25</v>
      </c>
      <c r="E10" s="79" t="s">
        <v>25</v>
      </c>
      <c r="F10" s="79" t="s">
        <v>25</v>
      </c>
      <c r="G10" s="79" t="s">
        <v>38</v>
      </c>
      <c r="H10" s="79" t="s">
        <v>73</v>
      </c>
      <c r="I10" s="79" t="s">
        <v>25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  <c r="AI10" s="79">
        <v>0</v>
      </c>
      <c r="AJ10" s="79">
        <v>0</v>
      </c>
      <c r="AK10" s="79">
        <v>0</v>
      </c>
      <c r="AL10" s="79">
        <v>0</v>
      </c>
      <c r="AM10" s="79">
        <v>0</v>
      </c>
      <c r="AN10" s="79">
        <v>0</v>
      </c>
      <c r="AO10" s="79">
        <v>0</v>
      </c>
      <c r="AP10" s="79">
        <v>0</v>
      </c>
      <c r="AQ10" s="79">
        <v>0</v>
      </c>
      <c r="AR10" s="79">
        <v>0</v>
      </c>
      <c r="AS10" s="79">
        <v>0</v>
      </c>
      <c r="AT10" s="80">
        <v>0</v>
      </c>
    </row>
    <row r="11" spans="2:46" ht="12" customHeight="1" x14ac:dyDescent="0.25">
      <c r="B11" s="78" t="s">
        <v>35</v>
      </c>
      <c r="C11" s="79" t="s">
        <v>54</v>
      </c>
      <c r="D11" s="79" t="s">
        <v>25</v>
      </c>
      <c r="E11" s="79" t="s">
        <v>25</v>
      </c>
      <c r="F11" s="79" t="s">
        <v>25</v>
      </c>
      <c r="G11" s="79" t="s">
        <v>38</v>
      </c>
      <c r="H11" s="79" t="s">
        <v>76</v>
      </c>
      <c r="I11" s="79" t="s">
        <v>25</v>
      </c>
      <c r="J11" s="79">
        <v>0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  <c r="V11" s="79">
        <v>0</v>
      </c>
      <c r="W11" s="79">
        <v>0</v>
      </c>
      <c r="X11" s="79">
        <v>0</v>
      </c>
      <c r="Y11" s="79">
        <v>0</v>
      </c>
      <c r="Z11" s="79">
        <v>0</v>
      </c>
      <c r="AA11" s="79">
        <v>0</v>
      </c>
      <c r="AB11" s="79">
        <v>0</v>
      </c>
      <c r="AC11" s="79">
        <v>0</v>
      </c>
      <c r="AD11" s="79">
        <v>0</v>
      </c>
      <c r="AE11" s="79">
        <v>0</v>
      </c>
      <c r="AF11" s="79">
        <v>0</v>
      </c>
      <c r="AG11" s="79">
        <v>0</v>
      </c>
      <c r="AH11" s="79">
        <v>0</v>
      </c>
      <c r="AI11" s="79">
        <v>0</v>
      </c>
      <c r="AJ11" s="79">
        <v>0</v>
      </c>
      <c r="AK11" s="79">
        <v>0</v>
      </c>
      <c r="AL11" s="79">
        <v>0</v>
      </c>
      <c r="AM11" s="79">
        <v>0</v>
      </c>
      <c r="AN11" s="79">
        <v>0</v>
      </c>
      <c r="AO11" s="79">
        <v>0</v>
      </c>
      <c r="AP11" s="79">
        <v>0</v>
      </c>
      <c r="AQ11" s="79">
        <v>0</v>
      </c>
      <c r="AR11" s="79">
        <v>0</v>
      </c>
      <c r="AS11" s="79">
        <v>0</v>
      </c>
      <c r="AT11" s="80">
        <v>0</v>
      </c>
    </row>
    <row r="12" spans="2:46" ht="12" customHeight="1" x14ac:dyDescent="0.25">
      <c r="B12" s="78" t="s">
        <v>35</v>
      </c>
      <c r="C12" s="79" t="s">
        <v>81</v>
      </c>
      <c r="D12" s="79" t="s">
        <v>25</v>
      </c>
      <c r="E12" s="79" t="s">
        <v>25</v>
      </c>
      <c r="F12" s="79" t="s">
        <v>25</v>
      </c>
      <c r="G12" s="79" t="s">
        <v>25</v>
      </c>
      <c r="H12" s="79" t="s">
        <v>76</v>
      </c>
      <c r="I12" s="79" t="s">
        <v>25</v>
      </c>
      <c r="J12" s="79">
        <v>0</v>
      </c>
      <c r="K12" s="79">
        <v>0</v>
      </c>
      <c r="L12" s="79">
        <v>0</v>
      </c>
      <c r="M12" s="79">
        <v>0</v>
      </c>
      <c r="N12" s="79">
        <v>0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  <c r="V12" s="79">
        <v>0</v>
      </c>
      <c r="W12" s="79">
        <v>0</v>
      </c>
      <c r="X12" s="79">
        <v>0</v>
      </c>
      <c r="Y12" s="79">
        <v>0</v>
      </c>
      <c r="Z12" s="79">
        <v>0</v>
      </c>
      <c r="AA12" s="79">
        <v>0</v>
      </c>
      <c r="AB12" s="79">
        <v>0</v>
      </c>
      <c r="AC12" s="79">
        <v>0</v>
      </c>
      <c r="AD12" s="79">
        <v>0</v>
      </c>
      <c r="AE12" s="79">
        <v>0</v>
      </c>
      <c r="AF12" s="79">
        <v>0</v>
      </c>
      <c r="AG12" s="79">
        <v>0</v>
      </c>
      <c r="AH12" s="79">
        <v>0</v>
      </c>
      <c r="AI12" s="79">
        <v>0</v>
      </c>
      <c r="AJ12" s="79">
        <v>0</v>
      </c>
      <c r="AK12" s="79">
        <v>0</v>
      </c>
      <c r="AL12" s="79">
        <v>0</v>
      </c>
      <c r="AM12" s="79">
        <v>0</v>
      </c>
      <c r="AN12" s="79">
        <v>0</v>
      </c>
      <c r="AO12" s="79">
        <v>0</v>
      </c>
      <c r="AP12" s="79">
        <v>0</v>
      </c>
      <c r="AQ12" s="79">
        <v>0</v>
      </c>
      <c r="AR12" s="79">
        <v>0</v>
      </c>
      <c r="AS12" s="79">
        <v>0</v>
      </c>
      <c r="AT12" s="80">
        <v>0</v>
      </c>
    </row>
    <row r="13" spans="2:46" ht="12" customHeight="1" x14ac:dyDescent="0.25">
      <c r="B13" s="78" t="s">
        <v>35</v>
      </c>
      <c r="C13" s="79" t="s">
        <v>36</v>
      </c>
      <c r="D13" s="79" t="s">
        <v>25</v>
      </c>
      <c r="E13" s="79" t="s">
        <v>25</v>
      </c>
      <c r="F13" s="79" t="s">
        <v>80</v>
      </c>
      <c r="G13" s="79" t="s">
        <v>37</v>
      </c>
      <c r="H13" s="79" t="s">
        <v>73</v>
      </c>
      <c r="I13" s="79" t="s">
        <v>25</v>
      </c>
      <c r="J13" s="79">
        <v>0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  <c r="Q13" s="79">
        <v>0</v>
      </c>
      <c r="R13" s="79">
        <v>0</v>
      </c>
      <c r="S13" s="79">
        <v>0</v>
      </c>
      <c r="T13" s="79">
        <v>0</v>
      </c>
      <c r="U13" s="79">
        <v>0</v>
      </c>
      <c r="V13" s="79">
        <v>0</v>
      </c>
      <c r="W13" s="79">
        <v>0</v>
      </c>
      <c r="X13" s="79">
        <v>0</v>
      </c>
      <c r="Y13" s="79">
        <v>0</v>
      </c>
      <c r="Z13" s="79">
        <v>0</v>
      </c>
      <c r="AA13" s="79">
        <v>0</v>
      </c>
      <c r="AB13" s="79">
        <v>0</v>
      </c>
      <c r="AC13" s="79">
        <v>0</v>
      </c>
      <c r="AD13" s="79">
        <v>0</v>
      </c>
      <c r="AE13" s="79">
        <v>0</v>
      </c>
      <c r="AF13" s="79">
        <v>0</v>
      </c>
      <c r="AG13" s="79">
        <v>0</v>
      </c>
      <c r="AH13" s="79">
        <v>0</v>
      </c>
      <c r="AI13" s="79">
        <v>0</v>
      </c>
      <c r="AJ13" s="79">
        <v>0</v>
      </c>
      <c r="AK13" s="79">
        <v>0</v>
      </c>
      <c r="AL13" s="79">
        <v>0</v>
      </c>
      <c r="AM13" s="79">
        <v>0</v>
      </c>
      <c r="AN13" s="79">
        <v>0</v>
      </c>
      <c r="AO13" s="79">
        <v>0</v>
      </c>
      <c r="AP13" s="79">
        <v>0</v>
      </c>
      <c r="AQ13" s="79">
        <v>0</v>
      </c>
      <c r="AR13" s="79">
        <v>0</v>
      </c>
      <c r="AS13" s="79">
        <v>0</v>
      </c>
      <c r="AT13" s="80">
        <v>0</v>
      </c>
    </row>
    <row r="14" spans="2:46" ht="12" customHeight="1" x14ac:dyDescent="0.25">
      <c r="B14" s="78" t="s">
        <v>35</v>
      </c>
      <c r="C14" s="79" t="s">
        <v>36</v>
      </c>
      <c r="D14" s="79" t="s">
        <v>25</v>
      </c>
      <c r="E14" s="79" t="s">
        <v>25</v>
      </c>
      <c r="F14" s="79" t="s">
        <v>80</v>
      </c>
      <c r="G14" s="79" t="s">
        <v>25</v>
      </c>
      <c r="H14" s="79" t="s">
        <v>76</v>
      </c>
      <c r="I14" s="79" t="s">
        <v>25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0</v>
      </c>
      <c r="V14" s="79">
        <v>0</v>
      </c>
      <c r="W14" s="79">
        <v>0</v>
      </c>
      <c r="X14" s="79">
        <v>0</v>
      </c>
      <c r="Y14" s="79">
        <v>0</v>
      </c>
      <c r="Z14" s="79">
        <v>0</v>
      </c>
      <c r="AA14" s="79">
        <v>0</v>
      </c>
      <c r="AB14" s="79">
        <v>0</v>
      </c>
      <c r="AC14" s="79">
        <v>0</v>
      </c>
      <c r="AD14" s="79">
        <v>0</v>
      </c>
      <c r="AE14" s="79">
        <v>0</v>
      </c>
      <c r="AF14" s="79">
        <v>0</v>
      </c>
      <c r="AG14" s="79">
        <v>0</v>
      </c>
      <c r="AH14" s="79">
        <v>0</v>
      </c>
      <c r="AI14" s="79">
        <v>0</v>
      </c>
      <c r="AJ14" s="79">
        <v>0</v>
      </c>
      <c r="AK14" s="79">
        <v>0</v>
      </c>
      <c r="AL14" s="79">
        <v>0</v>
      </c>
      <c r="AM14" s="79">
        <v>0</v>
      </c>
      <c r="AN14" s="79">
        <v>0</v>
      </c>
      <c r="AO14" s="79">
        <v>0</v>
      </c>
      <c r="AP14" s="79">
        <v>0</v>
      </c>
      <c r="AQ14" s="79">
        <v>0</v>
      </c>
      <c r="AR14" s="79">
        <v>0</v>
      </c>
      <c r="AS14" s="79">
        <v>0</v>
      </c>
      <c r="AT14" s="80">
        <v>0</v>
      </c>
    </row>
    <row r="15" spans="2:46" ht="12" customHeight="1" x14ac:dyDescent="0.25">
      <c r="B15" s="78" t="s">
        <v>35</v>
      </c>
      <c r="C15" s="79" t="s">
        <v>36</v>
      </c>
      <c r="D15" s="79" t="s">
        <v>25</v>
      </c>
      <c r="E15" s="79" t="s">
        <v>25</v>
      </c>
      <c r="F15" s="79" t="s">
        <v>80</v>
      </c>
      <c r="G15" s="79" t="s">
        <v>38</v>
      </c>
      <c r="H15" s="79" t="s">
        <v>73</v>
      </c>
      <c r="I15" s="79" t="s">
        <v>25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79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79">
        <v>0</v>
      </c>
      <c r="AB15" s="79">
        <v>0</v>
      </c>
      <c r="AC15" s="79">
        <v>0</v>
      </c>
      <c r="AD15" s="79">
        <v>0</v>
      </c>
      <c r="AE15" s="79">
        <v>0</v>
      </c>
      <c r="AF15" s="79">
        <v>0</v>
      </c>
      <c r="AG15" s="79">
        <v>0</v>
      </c>
      <c r="AH15" s="79">
        <v>0</v>
      </c>
      <c r="AI15" s="79">
        <v>0</v>
      </c>
      <c r="AJ15" s="79">
        <v>0</v>
      </c>
      <c r="AK15" s="79">
        <v>0</v>
      </c>
      <c r="AL15" s="79">
        <v>0</v>
      </c>
      <c r="AM15" s="79">
        <v>0</v>
      </c>
      <c r="AN15" s="79">
        <v>0</v>
      </c>
      <c r="AO15" s="79">
        <v>0</v>
      </c>
      <c r="AP15" s="79">
        <v>0</v>
      </c>
      <c r="AQ15" s="79">
        <v>0</v>
      </c>
      <c r="AR15" s="79">
        <v>0</v>
      </c>
      <c r="AS15" s="79">
        <v>0</v>
      </c>
      <c r="AT15" s="80">
        <v>0</v>
      </c>
    </row>
    <row r="16" spans="2:46" ht="12" customHeight="1" x14ac:dyDescent="0.25">
      <c r="B16" s="78" t="s">
        <v>35</v>
      </c>
      <c r="C16" s="79" t="s">
        <v>36</v>
      </c>
      <c r="D16" s="79" t="s">
        <v>25</v>
      </c>
      <c r="E16" s="79" t="s">
        <v>25</v>
      </c>
      <c r="F16" s="79" t="s">
        <v>25</v>
      </c>
      <c r="G16" s="79" t="s">
        <v>37</v>
      </c>
      <c r="H16" s="79" t="s">
        <v>73</v>
      </c>
      <c r="I16" s="79" t="s">
        <v>25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  <c r="U16" s="79">
        <v>0</v>
      </c>
      <c r="V16" s="79">
        <v>0</v>
      </c>
      <c r="W16" s="79">
        <v>0</v>
      </c>
      <c r="X16" s="79">
        <v>0</v>
      </c>
      <c r="Y16" s="79">
        <v>0</v>
      </c>
      <c r="Z16" s="79">
        <v>0</v>
      </c>
      <c r="AA16" s="79">
        <v>0</v>
      </c>
      <c r="AB16" s="79">
        <v>0</v>
      </c>
      <c r="AC16" s="79">
        <v>0</v>
      </c>
      <c r="AD16" s="79">
        <v>0</v>
      </c>
      <c r="AE16" s="79">
        <v>0</v>
      </c>
      <c r="AF16" s="79">
        <v>0</v>
      </c>
      <c r="AG16" s="79">
        <v>0</v>
      </c>
      <c r="AH16" s="79">
        <v>0</v>
      </c>
      <c r="AI16" s="79">
        <v>0</v>
      </c>
      <c r="AJ16" s="79">
        <v>0</v>
      </c>
      <c r="AK16" s="79">
        <v>0</v>
      </c>
      <c r="AL16" s="79">
        <v>0</v>
      </c>
      <c r="AM16" s="79">
        <v>0</v>
      </c>
      <c r="AN16" s="79">
        <v>0</v>
      </c>
      <c r="AO16" s="79">
        <v>0</v>
      </c>
      <c r="AP16" s="79">
        <v>0</v>
      </c>
      <c r="AQ16" s="79">
        <v>0</v>
      </c>
      <c r="AR16" s="79">
        <v>0</v>
      </c>
      <c r="AS16" s="79">
        <v>0</v>
      </c>
      <c r="AT16" s="80">
        <v>0</v>
      </c>
    </row>
    <row r="17" spans="2:46" ht="12" customHeight="1" x14ac:dyDescent="0.25">
      <c r="B17" s="78" t="s">
        <v>35</v>
      </c>
      <c r="C17" s="79" t="s">
        <v>36</v>
      </c>
      <c r="D17" s="79" t="s">
        <v>25</v>
      </c>
      <c r="E17" s="79" t="s">
        <v>25</v>
      </c>
      <c r="F17" s="79" t="s">
        <v>25</v>
      </c>
      <c r="G17" s="79" t="s">
        <v>25</v>
      </c>
      <c r="H17" s="79" t="s">
        <v>76</v>
      </c>
      <c r="I17" s="79" t="s">
        <v>25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9">
        <v>0</v>
      </c>
      <c r="AI17" s="79">
        <v>0</v>
      </c>
      <c r="AJ17" s="79">
        <v>0</v>
      </c>
      <c r="AK17" s="79">
        <v>0</v>
      </c>
      <c r="AL17" s="79">
        <v>0</v>
      </c>
      <c r="AM17" s="79">
        <v>0</v>
      </c>
      <c r="AN17" s="79">
        <v>0</v>
      </c>
      <c r="AO17" s="79">
        <v>0</v>
      </c>
      <c r="AP17" s="79">
        <v>0</v>
      </c>
      <c r="AQ17" s="79">
        <v>0</v>
      </c>
      <c r="AR17" s="79">
        <v>0</v>
      </c>
      <c r="AS17" s="79">
        <v>0</v>
      </c>
      <c r="AT17" s="80">
        <v>0</v>
      </c>
    </row>
    <row r="18" spans="2:46" ht="12" customHeight="1" x14ac:dyDescent="0.25">
      <c r="B18" s="78" t="s">
        <v>35</v>
      </c>
      <c r="C18" s="79" t="s">
        <v>36</v>
      </c>
      <c r="D18" s="79" t="s">
        <v>25</v>
      </c>
      <c r="E18" s="79" t="s">
        <v>25</v>
      </c>
      <c r="F18" s="79" t="s">
        <v>25</v>
      </c>
      <c r="G18" s="79" t="s">
        <v>38</v>
      </c>
      <c r="H18" s="79" t="s">
        <v>73</v>
      </c>
      <c r="I18" s="79" t="s">
        <v>25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  <c r="Z18" s="79">
        <v>0</v>
      </c>
      <c r="AA18" s="79">
        <v>0</v>
      </c>
      <c r="AB18" s="79">
        <v>0</v>
      </c>
      <c r="AC18" s="79">
        <v>0</v>
      </c>
      <c r="AD18" s="79">
        <v>0</v>
      </c>
      <c r="AE18" s="79">
        <v>0</v>
      </c>
      <c r="AF18" s="79">
        <v>0</v>
      </c>
      <c r="AG18" s="79">
        <v>0</v>
      </c>
      <c r="AH18" s="79">
        <v>0</v>
      </c>
      <c r="AI18" s="79">
        <v>0</v>
      </c>
      <c r="AJ18" s="79">
        <v>0</v>
      </c>
      <c r="AK18" s="79">
        <v>0</v>
      </c>
      <c r="AL18" s="79">
        <v>0</v>
      </c>
      <c r="AM18" s="79">
        <v>0</v>
      </c>
      <c r="AN18" s="79">
        <v>0</v>
      </c>
      <c r="AO18" s="79">
        <v>0</v>
      </c>
      <c r="AP18" s="79">
        <v>0</v>
      </c>
      <c r="AQ18" s="79">
        <v>0</v>
      </c>
      <c r="AR18" s="79">
        <v>0</v>
      </c>
      <c r="AS18" s="79">
        <v>0</v>
      </c>
      <c r="AT18" s="80">
        <v>0</v>
      </c>
    </row>
    <row r="19" spans="2:46" ht="12" customHeight="1" x14ac:dyDescent="0.25">
      <c r="B19" s="78" t="s">
        <v>82</v>
      </c>
      <c r="C19" s="79" t="s">
        <v>81</v>
      </c>
      <c r="D19" s="79" t="s">
        <v>25</v>
      </c>
      <c r="E19" s="79" t="s">
        <v>25</v>
      </c>
      <c r="F19" s="79" t="s">
        <v>83</v>
      </c>
      <c r="G19" s="79" t="s">
        <v>25</v>
      </c>
      <c r="H19" s="79" t="s">
        <v>76</v>
      </c>
      <c r="I19" s="79" t="s">
        <v>25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79">
        <v>0</v>
      </c>
      <c r="AB19" s="79">
        <v>0</v>
      </c>
      <c r="AC19" s="79">
        <v>0</v>
      </c>
      <c r="AD19" s="79">
        <v>0</v>
      </c>
      <c r="AE19" s="79">
        <v>0</v>
      </c>
      <c r="AF19" s="79">
        <v>0</v>
      </c>
      <c r="AG19" s="79">
        <v>0</v>
      </c>
      <c r="AH19" s="79">
        <v>0</v>
      </c>
      <c r="AI19" s="79">
        <v>0</v>
      </c>
      <c r="AJ19" s="79">
        <v>0</v>
      </c>
      <c r="AK19" s="79">
        <v>0</v>
      </c>
      <c r="AL19" s="79">
        <v>0</v>
      </c>
      <c r="AM19" s="79">
        <v>0</v>
      </c>
      <c r="AN19" s="79">
        <v>0</v>
      </c>
      <c r="AO19" s="79">
        <v>0</v>
      </c>
      <c r="AP19" s="79">
        <v>0</v>
      </c>
      <c r="AQ19" s="79">
        <v>0</v>
      </c>
      <c r="AR19" s="79">
        <v>0</v>
      </c>
      <c r="AS19" s="79">
        <v>0</v>
      </c>
      <c r="AT19" s="80">
        <v>0</v>
      </c>
    </row>
    <row r="20" spans="2:46" ht="12" customHeight="1" x14ac:dyDescent="0.25">
      <c r="B20" s="78" t="s">
        <v>82</v>
      </c>
      <c r="C20" s="79" t="s">
        <v>81</v>
      </c>
      <c r="D20" s="79" t="s">
        <v>25</v>
      </c>
      <c r="E20" s="79" t="s">
        <v>25</v>
      </c>
      <c r="F20" s="79" t="s">
        <v>84</v>
      </c>
      <c r="G20" s="79" t="s">
        <v>25</v>
      </c>
      <c r="H20" s="79" t="s">
        <v>76</v>
      </c>
      <c r="I20" s="79" t="s">
        <v>25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0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79">
        <v>0</v>
      </c>
      <c r="AM20" s="79">
        <v>0</v>
      </c>
      <c r="AN20" s="79">
        <v>0</v>
      </c>
      <c r="AO20" s="79">
        <v>0</v>
      </c>
      <c r="AP20" s="79">
        <v>0</v>
      </c>
      <c r="AQ20" s="79">
        <v>0</v>
      </c>
      <c r="AR20" s="79">
        <v>0</v>
      </c>
      <c r="AS20" s="79">
        <v>0</v>
      </c>
      <c r="AT20" s="80">
        <v>0</v>
      </c>
    </row>
    <row r="21" spans="2:46" ht="12" customHeight="1" x14ac:dyDescent="0.25">
      <c r="B21" s="78" t="s">
        <v>22</v>
      </c>
      <c r="C21" s="79" t="s">
        <v>87</v>
      </c>
      <c r="D21" s="79" t="s">
        <v>24</v>
      </c>
      <c r="E21" s="79" t="s">
        <v>24</v>
      </c>
      <c r="F21" s="79" t="s">
        <v>25</v>
      </c>
      <c r="G21" s="79" t="s">
        <v>37</v>
      </c>
      <c r="H21" s="79" t="s">
        <v>73</v>
      </c>
      <c r="I21" s="79" t="s">
        <v>25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  <c r="Z21" s="79">
        <v>0</v>
      </c>
      <c r="AA21" s="79">
        <v>0</v>
      </c>
      <c r="AB21" s="79">
        <v>0</v>
      </c>
      <c r="AC21" s="79">
        <v>0</v>
      </c>
      <c r="AD21" s="79">
        <v>0</v>
      </c>
      <c r="AE21" s="79">
        <v>0</v>
      </c>
      <c r="AF21" s="79">
        <v>0</v>
      </c>
      <c r="AG21" s="79">
        <v>0</v>
      </c>
      <c r="AH21" s="79">
        <v>0</v>
      </c>
      <c r="AI21" s="79">
        <v>0</v>
      </c>
      <c r="AJ21" s="79">
        <v>0</v>
      </c>
      <c r="AK21" s="79">
        <v>0</v>
      </c>
      <c r="AL21" s="79">
        <v>0</v>
      </c>
      <c r="AM21" s="79">
        <v>0</v>
      </c>
      <c r="AN21" s="79">
        <v>0</v>
      </c>
      <c r="AO21" s="79">
        <v>0</v>
      </c>
      <c r="AP21" s="79">
        <v>0</v>
      </c>
      <c r="AQ21" s="79">
        <v>0</v>
      </c>
      <c r="AR21" s="79">
        <v>0</v>
      </c>
      <c r="AS21" s="79">
        <v>0</v>
      </c>
      <c r="AT21" s="80">
        <v>0</v>
      </c>
    </row>
    <row r="22" spans="2:46" ht="12" customHeight="1" x14ac:dyDescent="0.25">
      <c r="B22" s="78" t="s">
        <v>22</v>
      </c>
      <c r="C22" s="79" t="s">
        <v>87</v>
      </c>
      <c r="D22" s="79" t="s">
        <v>24</v>
      </c>
      <c r="E22" s="79" t="s">
        <v>24</v>
      </c>
      <c r="F22" s="79" t="s">
        <v>25</v>
      </c>
      <c r="G22" s="79" t="s">
        <v>559</v>
      </c>
      <c r="H22" s="79" t="s">
        <v>73</v>
      </c>
      <c r="I22" s="79" t="s">
        <v>25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  <c r="X22" s="79">
        <v>0</v>
      </c>
      <c r="Y22" s="79">
        <v>0</v>
      </c>
      <c r="Z22" s="79">
        <v>0</v>
      </c>
      <c r="AA22" s="79">
        <v>0</v>
      </c>
      <c r="AB22" s="79">
        <v>0</v>
      </c>
      <c r="AC22" s="79">
        <v>0</v>
      </c>
      <c r="AD22" s="79">
        <v>0</v>
      </c>
      <c r="AE22" s="79">
        <v>0</v>
      </c>
      <c r="AF22" s="79">
        <v>0</v>
      </c>
      <c r="AG22" s="79">
        <v>0</v>
      </c>
      <c r="AH22" s="79">
        <v>0</v>
      </c>
      <c r="AI22" s="79">
        <v>0</v>
      </c>
      <c r="AJ22" s="79">
        <v>0</v>
      </c>
      <c r="AK22" s="79">
        <v>0</v>
      </c>
      <c r="AL22" s="79">
        <v>0</v>
      </c>
      <c r="AM22" s="79">
        <v>0</v>
      </c>
      <c r="AN22" s="79">
        <v>0</v>
      </c>
      <c r="AO22" s="79">
        <v>0</v>
      </c>
      <c r="AP22" s="79">
        <v>0</v>
      </c>
      <c r="AQ22" s="79">
        <v>0</v>
      </c>
      <c r="AR22" s="79">
        <v>0</v>
      </c>
      <c r="AS22" s="79">
        <v>0</v>
      </c>
      <c r="AT22" s="80">
        <v>0</v>
      </c>
    </row>
    <row r="23" spans="2:46" ht="12" customHeight="1" x14ac:dyDescent="0.25">
      <c r="B23" s="78" t="s">
        <v>22</v>
      </c>
      <c r="C23" s="79" t="s">
        <v>87</v>
      </c>
      <c r="D23" s="79" t="s">
        <v>24</v>
      </c>
      <c r="E23" s="79" t="s">
        <v>24</v>
      </c>
      <c r="F23" s="79" t="s">
        <v>25</v>
      </c>
      <c r="G23" s="79" t="s">
        <v>38</v>
      </c>
      <c r="H23" s="79" t="s">
        <v>73</v>
      </c>
      <c r="I23" s="79" t="s">
        <v>25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0</v>
      </c>
      <c r="Y23" s="79">
        <v>0</v>
      </c>
      <c r="Z23" s="79">
        <v>0</v>
      </c>
      <c r="AA23" s="79">
        <v>0</v>
      </c>
      <c r="AB23" s="79">
        <v>0</v>
      </c>
      <c r="AC23" s="79">
        <v>0</v>
      </c>
      <c r="AD23" s="79">
        <v>0</v>
      </c>
      <c r="AE23" s="79">
        <v>0</v>
      </c>
      <c r="AF23" s="79">
        <v>0</v>
      </c>
      <c r="AG23" s="79">
        <v>0</v>
      </c>
      <c r="AH23" s="79">
        <v>0</v>
      </c>
      <c r="AI23" s="79">
        <v>0</v>
      </c>
      <c r="AJ23" s="79">
        <v>0</v>
      </c>
      <c r="AK23" s="79">
        <v>0</v>
      </c>
      <c r="AL23" s="79">
        <v>0</v>
      </c>
      <c r="AM23" s="79">
        <v>0</v>
      </c>
      <c r="AN23" s="79">
        <v>0</v>
      </c>
      <c r="AO23" s="79">
        <v>0</v>
      </c>
      <c r="AP23" s="79">
        <v>0</v>
      </c>
      <c r="AQ23" s="79">
        <v>0</v>
      </c>
      <c r="AR23" s="79">
        <v>0</v>
      </c>
      <c r="AS23" s="79">
        <v>0</v>
      </c>
      <c r="AT23" s="80">
        <v>0</v>
      </c>
    </row>
    <row r="24" spans="2:46" ht="12" customHeight="1" x14ac:dyDescent="0.25">
      <c r="B24" s="78" t="s">
        <v>22</v>
      </c>
      <c r="C24" s="79" t="s">
        <v>23</v>
      </c>
      <c r="D24" s="79" t="s">
        <v>24</v>
      </c>
      <c r="E24" s="79" t="s">
        <v>1086</v>
      </c>
      <c r="F24" s="79" t="s">
        <v>25</v>
      </c>
      <c r="G24" s="79" t="s">
        <v>25</v>
      </c>
      <c r="H24" s="79" t="s">
        <v>73</v>
      </c>
      <c r="I24" s="79" t="s">
        <v>25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79">
        <v>0</v>
      </c>
      <c r="AB24" s="79">
        <v>0</v>
      </c>
      <c r="AC24" s="79">
        <v>0</v>
      </c>
      <c r="AD24" s="79">
        <v>0</v>
      </c>
      <c r="AE24" s="79">
        <v>0</v>
      </c>
      <c r="AF24" s="79">
        <v>0</v>
      </c>
      <c r="AG24" s="79">
        <v>0</v>
      </c>
      <c r="AH24" s="79">
        <v>0</v>
      </c>
      <c r="AI24" s="79">
        <v>0</v>
      </c>
      <c r="AJ24" s="79">
        <v>0</v>
      </c>
      <c r="AK24" s="79">
        <v>0</v>
      </c>
      <c r="AL24" s="79">
        <v>0</v>
      </c>
      <c r="AM24" s="79">
        <v>0</v>
      </c>
      <c r="AN24" s="79">
        <v>0</v>
      </c>
      <c r="AO24" s="79">
        <v>0</v>
      </c>
      <c r="AP24" s="79">
        <v>0</v>
      </c>
      <c r="AQ24" s="79">
        <v>0</v>
      </c>
      <c r="AR24" s="79">
        <v>0</v>
      </c>
      <c r="AS24" s="79">
        <v>0</v>
      </c>
      <c r="AT24" s="80">
        <v>0</v>
      </c>
    </row>
    <row r="25" spans="2:46" ht="12" customHeight="1" x14ac:dyDescent="0.25">
      <c r="B25" s="78" t="s">
        <v>22</v>
      </c>
      <c r="C25" s="79" t="s">
        <v>23</v>
      </c>
      <c r="D25" s="79" t="s">
        <v>24</v>
      </c>
      <c r="E25" s="79" t="s">
        <v>24</v>
      </c>
      <c r="F25" s="79" t="s">
        <v>25</v>
      </c>
      <c r="G25" s="79" t="s">
        <v>25</v>
      </c>
      <c r="H25" s="79" t="s">
        <v>73</v>
      </c>
      <c r="I25" s="79" t="s">
        <v>25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79">
        <v>0</v>
      </c>
      <c r="W25" s="79">
        <v>0</v>
      </c>
      <c r="X25" s="79">
        <v>0</v>
      </c>
      <c r="Y25" s="79">
        <v>0</v>
      </c>
      <c r="Z25" s="79">
        <v>0</v>
      </c>
      <c r="AA25" s="79">
        <v>0</v>
      </c>
      <c r="AB25" s="79">
        <v>0</v>
      </c>
      <c r="AC25" s="79">
        <v>0</v>
      </c>
      <c r="AD25" s="79">
        <v>0</v>
      </c>
      <c r="AE25" s="79">
        <v>0</v>
      </c>
      <c r="AF25" s="79">
        <v>0</v>
      </c>
      <c r="AG25" s="79">
        <v>0</v>
      </c>
      <c r="AH25" s="79">
        <v>0</v>
      </c>
      <c r="AI25" s="79">
        <v>0</v>
      </c>
      <c r="AJ25" s="79">
        <v>0</v>
      </c>
      <c r="AK25" s="79">
        <v>0</v>
      </c>
      <c r="AL25" s="79">
        <v>0</v>
      </c>
      <c r="AM25" s="79">
        <v>0</v>
      </c>
      <c r="AN25" s="79">
        <v>0</v>
      </c>
      <c r="AO25" s="79">
        <v>0</v>
      </c>
      <c r="AP25" s="79">
        <v>0</v>
      </c>
      <c r="AQ25" s="79">
        <v>0</v>
      </c>
      <c r="AR25" s="79">
        <v>0</v>
      </c>
      <c r="AS25" s="79">
        <v>0</v>
      </c>
      <c r="AT25" s="80">
        <v>0</v>
      </c>
    </row>
    <row r="26" spans="2:46" ht="12" customHeight="1" x14ac:dyDescent="0.25">
      <c r="B26" s="78" t="s">
        <v>22</v>
      </c>
      <c r="C26" s="79" t="s">
        <v>89</v>
      </c>
      <c r="D26" s="79" t="s">
        <v>24</v>
      </c>
      <c r="E26" s="79" t="s">
        <v>1086</v>
      </c>
      <c r="F26" s="79" t="s">
        <v>25</v>
      </c>
      <c r="G26" s="79" t="s">
        <v>25</v>
      </c>
      <c r="H26" s="79" t="s">
        <v>73</v>
      </c>
      <c r="I26" s="79" t="s">
        <v>25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0</v>
      </c>
      <c r="Y26" s="79">
        <v>0</v>
      </c>
      <c r="Z26" s="79">
        <v>0</v>
      </c>
      <c r="AA26" s="79">
        <v>0</v>
      </c>
      <c r="AB26" s="79">
        <v>0</v>
      </c>
      <c r="AC26" s="79">
        <v>0</v>
      </c>
      <c r="AD26" s="79">
        <v>0</v>
      </c>
      <c r="AE26" s="79">
        <v>0</v>
      </c>
      <c r="AF26" s="79">
        <v>0</v>
      </c>
      <c r="AG26" s="79">
        <v>0</v>
      </c>
      <c r="AH26" s="79">
        <v>0</v>
      </c>
      <c r="AI26" s="79">
        <v>0</v>
      </c>
      <c r="AJ26" s="79">
        <v>0</v>
      </c>
      <c r="AK26" s="79">
        <v>0</v>
      </c>
      <c r="AL26" s="79">
        <v>0</v>
      </c>
      <c r="AM26" s="79">
        <v>0</v>
      </c>
      <c r="AN26" s="79">
        <v>0</v>
      </c>
      <c r="AO26" s="79">
        <v>0</v>
      </c>
      <c r="AP26" s="79">
        <v>0</v>
      </c>
      <c r="AQ26" s="79">
        <v>0</v>
      </c>
      <c r="AR26" s="79">
        <v>0</v>
      </c>
      <c r="AS26" s="79">
        <v>0</v>
      </c>
      <c r="AT26" s="80">
        <v>0</v>
      </c>
    </row>
    <row r="27" spans="2:46" ht="12" customHeight="1" x14ac:dyDescent="0.25">
      <c r="B27" s="78" t="s">
        <v>22</v>
      </c>
      <c r="C27" s="79" t="s">
        <v>89</v>
      </c>
      <c r="D27" s="79" t="s">
        <v>24</v>
      </c>
      <c r="E27" s="79" t="s">
        <v>24</v>
      </c>
      <c r="F27" s="79" t="s">
        <v>25</v>
      </c>
      <c r="G27" s="79" t="s">
        <v>25</v>
      </c>
      <c r="H27" s="79" t="s">
        <v>73</v>
      </c>
      <c r="I27" s="79" t="s">
        <v>25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0</v>
      </c>
      <c r="Y27" s="79">
        <v>0</v>
      </c>
      <c r="Z27" s="79">
        <v>0</v>
      </c>
      <c r="AA27" s="79">
        <v>0</v>
      </c>
      <c r="AB27" s="79">
        <v>0</v>
      </c>
      <c r="AC27" s="79">
        <v>0</v>
      </c>
      <c r="AD27" s="79">
        <v>0</v>
      </c>
      <c r="AE27" s="79">
        <v>0</v>
      </c>
      <c r="AF27" s="79">
        <v>0</v>
      </c>
      <c r="AG27" s="79">
        <v>0</v>
      </c>
      <c r="AH27" s="79">
        <v>0</v>
      </c>
      <c r="AI27" s="79">
        <v>0</v>
      </c>
      <c r="AJ27" s="79">
        <v>0</v>
      </c>
      <c r="AK27" s="79">
        <v>0</v>
      </c>
      <c r="AL27" s="79">
        <v>0</v>
      </c>
      <c r="AM27" s="79">
        <v>0</v>
      </c>
      <c r="AN27" s="79">
        <v>0</v>
      </c>
      <c r="AO27" s="79">
        <v>0</v>
      </c>
      <c r="AP27" s="79">
        <v>0</v>
      </c>
      <c r="AQ27" s="79">
        <v>0</v>
      </c>
      <c r="AR27" s="79">
        <v>0</v>
      </c>
      <c r="AS27" s="79">
        <v>0</v>
      </c>
      <c r="AT27" s="80">
        <v>0</v>
      </c>
    </row>
    <row r="28" spans="2:46" ht="12" customHeight="1" x14ac:dyDescent="0.25">
      <c r="B28" s="78" t="s">
        <v>40</v>
      </c>
      <c r="C28" s="79" t="s">
        <v>87</v>
      </c>
      <c r="D28" s="79" t="s">
        <v>41</v>
      </c>
      <c r="E28" s="79" t="s">
        <v>90</v>
      </c>
      <c r="F28" s="79" t="s">
        <v>25</v>
      </c>
      <c r="G28" s="79" t="s">
        <v>37</v>
      </c>
      <c r="H28" s="79" t="s">
        <v>73</v>
      </c>
      <c r="I28" s="79" t="s">
        <v>25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0</v>
      </c>
      <c r="U28" s="79">
        <v>0</v>
      </c>
      <c r="V28" s="79">
        <v>0</v>
      </c>
      <c r="W28" s="79">
        <v>0</v>
      </c>
      <c r="X28" s="79">
        <v>0</v>
      </c>
      <c r="Y28" s="79">
        <v>0</v>
      </c>
      <c r="Z28" s="79">
        <v>0</v>
      </c>
      <c r="AA28" s="79">
        <v>0</v>
      </c>
      <c r="AB28" s="79">
        <v>0</v>
      </c>
      <c r="AC28" s="79">
        <v>0</v>
      </c>
      <c r="AD28" s="79">
        <v>0</v>
      </c>
      <c r="AE28" s="79">
        <v>0</v>
      </c>
      <c r="AF28" s="79">
        <v>0</v>
      </c>
      <c r="AG28" s="79">
        <v>0</v>
      </c>
      <c r="AH28" s="79">
        <v>0</v>
      </c>
      <c r="AI28" s="79">
        <v>0</v>
      </c>
      <c r="AJ28" s="79">
        <v>0</v>
      </c>
      <c r="AK28" s="79">
        <v>0</v>
      </c>
      <c r="AL28" s="79">
        <v>0</v>
      </c>
      <c r="AM28" s="79">
        <v>0</v>
      </c>
      <c r="AN28" s="79">
        <v>0</v>
      </c>
      <c r="AO28" s="79">
        <v>0</v>
      </c>
      <c r="AP28" s="79">
        <v>0</v>
      </c>
      <c r="AQ28" s="79">
        <v>0</v>
      </c>
      <c r="AR28" s="79">
        <v>0</v>
      </c>
      <c r="AS28" s="79">
        <v>0</v>
      </c>
      <c r="AT28" s="80">
        <v>0</v>
      </c>
    </row>
    <row r="29" spans="2:46" ht="12" customHeight="1" x14ac:dyDescent="0.25">
      <c r="B29" s="78" t="s">
        <v>40</v>
      </c>
      <c r="C29" s="79" t="s">
        <v>87</v>
      </c>
      <c r="D29" s="79" t="s">
        <v>41</v>
      </c>
      <c r="E29" s="79" t="s">
        <v>90</v>
      </c>
      <c r="F29" s="79" t="s">
        <v>25</v>
      </c>
      <c r="G29" s="79" t="s">
        <v>559</v>
      </c>
      <c r="H29" s="79" t="s">
        <v>73</v>
      </c>
      <c r="I29" s="79" t="s">
        <v>25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79">
        <v>0</v>
      </c>
      <c r="AB29" s="79">
        <v>0</v>
      </c>
      <c r="AC29" s="79">
        <v>0</v>
      </c>
      <c r="AD29" s="79">
        <v>0</v>
      </c>
      <c r="AE29" s="79">
        <v>0</v>
      </c>
      <c r="AF29" s="79">
        <v>0</v>
      </c>
      <c r="AG29" s="79">
        <v>0</v>
      </c>
      <c r="AH29" s="79">
        <v>0</v>
      </c>
      <c r="AI29" s="79">
        <v>0</v>
      </c>
      <c r="AJ29" s="79">
        <v>0</v>
      </c>
      <c r="AK29" s="79">
        <v>0</v>
      </c>
      <c r="AL29" s="79">
        <v>0</v>
      </c>
      <c r="AM29" s="79">
        <v>0</v>
      </c>
      <c r="AN29" s="79">
        <v>0</v>
      </c>
      <c r="AO29" s="79">
        <v>0</v>
      </c>
      <c r="AP29" s="79">
        <v>0</v>
      </c>
      <c r="AQ29" s="79">
        <v>0</v>
      </c>
      <c r="AR29" s="79">
        <v>0</v>
      </c>
      <c r="AS29" s="79">
        <v>0</v>
      </c>
      <c r="AT29" s="80">
        <v>0</v>
      </c>
    </row>
    <row r="30" spans="2:46" ht="12" customHeight="1" x14ac:dyDescent="0.25">
      <c r="B30" s="78" t="s">
        <v>40</v>
      </c>
      <c r="C30" s="79" t="s">
        <v>87</v>
      </c>
      <c r="D30" s="79" t="s">
        <v>41</v>
      </c>
      <c r="E30" s="79" t="s">
        <v>90</v>
      </c>
      <c r="F30" s="79" t="s">
        <v>25</v>
      </c>
      <c r="G30" s="79" t="s">
        <v>38</v>
      </c>
      <c r="H30" s="79" t="s">
        <v>73</v>
      </c>
      <c r="I30" s="79" t="s">
        <v>25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79">
        <v>0</v>
      </c>
      <c r="AQ30" s="79">
        <v>0</v>
      </c>
      <c r="AR30" s="79">
        <v>0</v>
      </c>
      <c r="AS30" s="79">
        <v>0</v>
      </c>
      <c r="AT30" s="80">
        <v>0</v>
      </c>
    </row>
    <row r="31" spans="2:46" ht="12" customHeight="1" x14ac:dyDescent="0.25">
      <c r="B31" s="78" t="s">
        <v>40</v>
      </c>
      <c r="C31" s="79" t="s">
        <v>87</v>
      </c>
      <c r="D31" s="79" t="s">
        <v>41</v>
      </c>
      <c r="E31" s="79" t="s">
        <v>25</v>
      </c>
      <c r="F31" s="79" t="s">
        <v>25</v>
      </c>
      <c r="G31" s="79" t="s">
        <v>37</v>
      </c>
      <c r="H31" s="79" t="s">
        <v>73</v>
      </c>
      <c r="I31" s="79" t="s">
        <v>25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  <c r="R31" s="79">
        <v>0</v>
      </c>
      <c r="S31" s="79">
        <v>0</v>
      </c>
      <c r="T31" s="79">
        <v>0</v>
      </c>
      <c r="U31" s="79">
        <v>0</v>
      </c>
      <c r="V31" s="79">
        <v>0</v>
      </c>
      <c r="W31" s="79">
        <v>0</v>
      </c>
      <c r="X31" s="79">
        <v>0</v>
      </c>
      <c r="Y31" s="79">
        <v>0</v>
      </c>
      <c r="Z31" s="79">
        <v>0</v>
      </c>
      <c r="AA31" s="79">
        <v>0</v>
      </c>
      <c r="AB31" s="79">
        <v>0</v>
      </c>
      <c r="AC31" s="79">
        <v>0</v>
      </c>
      <c r="AD31" s="79">
        <v>0</v>
      </c>
      <c r="AE31" s="79">
        <v>0</v>
      </c>
      <c r="AF31" s="79">
        <v>0</v>
      </c>
      <c r="AG31" s="79">
        <v>0</v>
      </c>
      <c r="AH31" s="79">
        <v>0</v>
      </c>
      <c r="AI31" s="79">
        <v>0</v>
      </c>
      <c r="AJ31" s="79">
        <v>0</v>
      </c>
      <c r="AK31" s="79">
        <v>0</v>
      </c>
      <c r="AL31" s="79">
        <v>0</v>
      </c>
      <c r="AM31" s="79">
        <v>0</v>
      </c>
      <c r="AN31" s="79">
        <v>0</v>
      </c>
      <c r="AO31" s="79">
        <v>0</v>
      </c>
      <c r="AP31" s="79">
        <v>0</v>
      </c>
      <c r="AQ31" s="79">
        <v>0</v>
      </c>
      <c r="AR31" s="79">
        <v>0</v>
      </c>
      <c r="AS31" s="79">
        <v>0</v>
      </c>
      <c r="AT31" s="80">
        <v>0</v>
      </c>
    </row>
    <row r="32" spans="2:46" ht="12" customHeight="1" x14ac:dyDescent="0.25">
      <c r="B32" s="78" t="s">
        <v>40</v>
      </c>
      <c r="C32" s="79" t="s">
        <v>87</v>
      </c>
      <c r="D32" s="79" t="s">
        <v>41</v>
      </c>
      <c r="E32" s="79" t="s">
        <v>25</v>
      </c>
      <c r="F32" s="79" t="s">
        <v>25</v>
      </c>
      <c r="G32" s="79" t="s">
        <v>559</v>
      </c>
      <c r="H32" s="79" t="s">
        <v>73</v>
      </c>
      <c r="I32" s="79" t="s">
        <v>25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  <c r="Q32" s="79">
        <v>0</v>
      </c>
      <c r="R32" s="79">
        <v>0</v>
      </c>
      <c r="S32" s="79">
        <v>0</v>
      </c>
      <c r="T32" s="79">
        <v>0</v>
      </c>
      <c r="U32" s="79">
        <v>0</v>
      </c>
      <c r="V32" s="79">
        <v>0</v>
      </c>
      <c r="W32" s="79">
        <v>0</v>
      </c>
      <c r="X32" s="79">
        <v>0</v>
      </c>
      <c r="Y32" s="79">
        <v>0</v>
      </c>
      <c r="Z32" s="79">
        <v>0</v>
      </c>
      <c r="AA32" s="79">
        <v>0</v>
      </c>
      <c r="AB32" s="79">
        <v>0</v>
      </c>
      <c r="AC32" s="79">
        <v>0</v>
      </c>
      <c r="AD32" s="79">
        <v>0</v>
      </c>
      <c r="AE32" s="79">
        <v>0</v>
      </c>
      <c r="AF32" s="79">
        <v>0</v>
      </c>
      <c r="AG32" s="79">
        <v>0</v>
      </c>
      <c r="AH32" s="79">
        <v>0</v>
      </c>
      <c r="AI32" s="79">
        <v>0</v>
      </c>
      <c r="AJ32" s="79">
        <v>0</v>
      </c>
      <c r="AK32" s="79">
        <v>0</v>
      </c>
      <c r="AL32" s="79">
        <v>0</v>
      </c>
      <c r="AM32" s="79">
        <v>0</v>
      </c>
      <c r="AN32" s="79">
        <v>0</v>
      </c>
      <c r="AO32" s="79">
        <v>0</v>
      </c>
      <c r="AP32" s="79">
        <v>0</v>
      </c>
      <c r="AQ32" s="79">
        <v>0</v>
      </c>
      <c r="AR32" s="79">
        <v>0</v>
      </c>
      <c r="AS32" s="79">
        <v>0</v>
      </c>
      <c r="AT32" s="80">
        <v>0</v>
      </c>
    </row>
    <row r="33" spans="2:46" ht="12" customHeight="1" x14ac:dyDescent="0.25">
      <c r="B33" s="78" t="s">
        <v>40</v>
      </c>
      <c r="C33" s="79" t="s">
        <v>87</v>
      </c>
      <c r="D33" s="79" t="s">
        <v>41</v>
      </c>
      <c r="E33" s="79" t="s">
        <v>25</v>
      </c>
      <c r="F33" s="79" t="s">
        <v>25</v>
      </c>
      <c r="G33" s="79" t="s">
        <v>38</v>
      </c>
      <c r="H33" s="79" t="s">
        <v>73</v>
      </c>
      <c r="I33" s="79" t="s">
        <v>25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0</v>
      </c>
      <c r="Y33" s="79">
        <v>0</v>
      </c>
      <c r="Z33" s="79">
        <v>0</v>
      </c>
      <c r="AA33" s="79">
        <v>0</v>
      </c>
      <c r="AB33" s="79">
        <v>0</v>
      </c>
      <c r="AC33" s="79">
        <v>0</v>
      </c>
      <c r="AD33" s="79">
        <v>0</v>
      </c>
      <c r="AE33" s="79">
        <v>0</v>
      </c>
      <c r="AF33" s="79">
        <v>0</v>
      </c>
      <c r="AG33" s="79">
        <v>0</v>
      </c>
      <c r="AH33" s="79">
        <v>0</v>
      </c>
      <c r="AI33" s="79">
        <v>0</v>
      </c>
      <c r="AJ33" s="79">
        <v>0</v>
      </c>
      <c r="AK33" s="79">
        <v>0</v>
      </c>
      <c r="AL33" s="79">
        <v>0</v>
      </c>
      <c r="AM33" s="79">
        <v>0</v>
      </c>
      <c r="AN33" s="79">
        <v>0</v>
      </c>
      <c r="AO33" s="79">
        <v>0</v>
      </c>
      <c r="AP33" s="79">
        <v>0</v>
      </c>
      <c r="AQ33" s="79">
        <v>0</v>
      </c>
      <c r="AR33" s="79">
        <v>0</v>
      </c>
      <c r="AS33" s="79">
        <v>0</v>
      </c>
      <c r="AT33" s="80">
        <v>0</v>
      </c>
    </row>
    <row r="34" spans="2:46" ht="12" customHeight="1" x14ac:dyDescent="0.25">
      <c r="B34" s="78" t="s">
        <v>40</v>
      </c>
      <c r="C34" s="79" t="s">
        <v>87</v>
      </c>
      <c r="D34" s="79" t="s">
        <v>41</v>
      </c>
      <c r="E34" s="79" t="s">
        <v>91</v>
      </c>
      <c r="F34" s="79" t="s">
        <v>25</v>
      </c>
      <c r="G34" s="79" t="s">
        <v>37</v>
      </c>
      <c r="H34" s="79" t="s">
        <v>73</v>
      </c>
      <c r="I34" s="79" t="s">
        <v>25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  <c r="Q34" s="79">
        <v>0</v>
      </c>
      <c r="R34" s="79">
        <v>0</v>
      </c>
      <c r="S34" s="79">
        <v>0</v>
      </c>
      <c r="T34" s="79">
        <v>0</v>
      </c>
      <c r="U34" s="79">
        <v>0</v>
      </c>
      <c r="V34" s="79">
        <v>0</v>
      </c>
      <c r="W34" s="79">
        <v>0</v>
      </c>
      <c r="X34" s="79">
        <v>0</v>
      </c>
      <c r="Y34" s="79">
        <v>0</v>
      </c>
      <c r="Z34" s="79">
        <v>0</v>
      </c>
      <c r="AA34" s="79">
        <v>0</v>
      </c>
      <c r="AB34" s="79">
        <v>0</v>
      </c>
      <c r="AC34" s="79">
        <v>0</v>
      </c>
      <c r="AD34" s="79">
        <v>0</v>
      </c>
      <c r="AE34" s="79">
        <v>0</v>
      </c>
      <c r="AF34" s="79">
        <v>0</v>
      </c>
      <c r="AG34" s="79">
        <v>0</v>
      </c>
      <c r="AH34" s="79">
        <v>0</v>
      </c>
      <c r="AI34" s="79">
        <v>0</v>
      </c>
      <c r="AJ34" s="79">
        <v>0</v>
      </c>
      <c r="AK34" s="79">
        <v>0</v>
      </c>
      <c r="AL34" s="79">
        <v>0</v>
      </c>
      <c r="AM34" s="79">
        <v>0</v>
      </c>
      <c r="AN34" s="79">
        <v>0</v>
      </c>
      <c r="AO34" s="79">
        <v>0</v>
      </c>
      <c r="AP34" s="79">
        <v>0</v>
      </c>
      <c r="AQ34" s="79">
        <v>0</v>
      </c>
      <c r="AR34" s="79">
        <v>0</v>
      </c>
      <c r="AS34" s="79">
        <v>0</v>
      </c>
      <c r="AT34" s="80">
        <v>0</v>
      </c>
    </row>
    <row r="35" spans="2:46" ht="12" customHeight="1" x14ac:dyDescent="0.25">
      <c r="B35" s="78" t="s">
        <v>40</v>
      </c>
      <c r="C35" s="79" t="s">
        <v>87</v>
      </c>
      <c r="D35" s="79" t="s">
        <v>41</v>
      </c>
      <c r="E35" s="79" t="s">
        <v>91</v>
      </c>
      <c r="F35" s="79" t="s">
        <v>25</v>
      </c>
      <c r="G35" s="79" t="s">
        <v>559</v>
      </c>
      <c r="H35" s="79" t="s">
        <v>73</v>
      </c>
      <c r="I35" s="79" t="s">
        <v>25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0</v>
      </c>
      <c r="Y35" s="79">
        <v>0</v>
      </c>
      <c r="Z35" s="79">
        <v>0</v>
      </c>
      <c r="AA35" s="79">
        <v>0</v>
      </c>
      <c r="AB35" s="79">
        <v>0</v>
      </c>
      <c r="AC35" s="79">
        <v>0</v>
      </c>
      <c r="AD35" s="79">
        <v>0</v>
      </c>
      <c r="AE35" s="79">
        <v>0</v>
      </c>
      <c r="AF35" s="79">
        <v>0</v>
      </c>
      <c r="AG35" s="79">
        <v>0</v>
      </c>
      <c r="AH35" s="79">
        <v>0</v>
      </c>
      <c r="AI35" s="79">
        <v>0</v>
      </c>
      <c r="AJ35" s="79">
        <v>0</v>
      </c>
      <c r="AK35" s="79">
        <v>0</v>
      </c>
      <c r="AL35" s="79">
        <v>0</v>
      </c>
      <c r="AM35" s="79">
        <v>0</v>
      </c>
      <c r="AN35" s="79">
        <v>0</v>
      </c>
      <c r="AO35" s="79">
        <v>0</v>
      </c>
      <c r="AP35" s="79">
        <v>0</v>
      </c>
      <c r="AQ35" s="79">
        <v>0</v>
      </c>
      <c r="AR35" s="79">
        <v>0</v>
      </c>
      <c r="AS35" s="79">
        <v>0</v>
      </c>
      <c r="AT35" s="80">
        <v>0</v>
      </c>
    </row>
    <row r="36" spans="2:46" ht="12" customHeight="1" x14ac:dyDescent="0.25">
      <c r="B36" s="78" t="s">
        <v>40</v>
      </c>
      <c r="C36" s="79" t="s">
        <v>87</v>
      </c>
      <c r="D36" s="79" t="s">
        <v>41</v>
      </c>
      <c r="E36" s="79" t="s">
        <v>91</v>
      </c>
      <c r="F36" s="79" t="s">
        <v>25</v>
      </c>
      <c r="G36" s="79" t="s">
        <v>38</v>
      </c>
      <c r="H36" s="79" t="s">
        <v>73</v>
      </c>
      <c r="I36" s="79" t="s">
        <v>25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0</v>
      </c>
      <c r="Y36" s="79">
        <v>0</v>
      </c>
      <c r="Z36" s="79">
        <v>0</v>
      </c>
      <c r="AA36" s="79">
        <v>0</v>
      </c>
      <c r="AB36" s="79">
        <v>0</v>
      </c>
      <c r="AC36" s="79">
        <v>0</v>
      </c>
      <c r="AD36" s="79">
        <v>0</v>
      </c>
      <c r="AE36" s="79">
        <v>0</v>
      </c>
      <c r="AF36" s="79">
        <v>0</v>
      </c>
      <c r="AG36" s="79">
        <v>0</v>
      </c>
      <c r="AH36" s="79">
        <v>0</v>
      </c>
      <c r="AI36" s="79">
        <v>0</v>
      </c>
      <c r="AJ36" s="79">
        <v>0</v>
      </c>
      <c r="AK36" s="79">
        <v>0</v>
      </c>
      <c r="AL36" s="79">
        <v>0</v>
      </c>
      <c r="AM36" s="79">
        <v>0</v>
      </c>
      <c r="AN36" s="79">
        <v>0</v>
      </c>
      <c r="AO36" s="79">
        <v>0</v>
      </c>
      <c r="AP36" s="79">
        <v>0</v>
      </c>
      <c r="AQ36" s="79">
        <v>0</v>
      </c>
      <c r="AR36" s="79">
        <v>0</v>
      </c>
      <c r="AS36" s="79">
        <v>0</v>
      </c>
      <c r="AT36" s="80">
        <v>0</v>
      </c>
    </row>
    <row r="37" spans="2:46" ht="12" customHeight="1" x14ac:dyDescent="0.25">
      <c r="B37" s="78" t="s">
        <v>40</v>
      </c>
      <c r="C37" s="79" t="s">
        <v>23</v>
      </c>
      <c r="D37" s="79" t="s">
        <v>41</v>
      </c>
      <c r="E37" s="79" t="s">
        <v>90</v>
      </c>
      <c r="F37" s="79" t="s">
        <v>25</v>
      </c>
      <c r="G37" s="79" t="s">
        <v>25</v>
      </c>
      <c r="H37" s="79" t="s">
        <v>73</v>
      </c>
      <c r="I37" s="79" t="s">
        <v>25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0</v>
      </c>
      <c r="U37" s="79">
        <v>0</v>
      </c>
      <c r="V37" s="79">
        <v>0</v>
      </c>
      <c r="W37" s="79">
        <v>0</v>
      </c>
      <c r="X37" s="79">
        <v>0</v>
      </c>
      <c r="Y37" s="79">
        <v>0</v>
      </c>
      <c r="Z37" s="79">
        <v>0</v>
      </c>
      <c r="AA37" s="79">
        <v>0</v>
      </c>
      <c r="AB37" s="79">
        <v>0</v>
      </c>
      <c r="AC37" s="79">
        <v>0</v>
      </c>
      <c r="AD37" s="79">
        <v>0</v>
      </c>
      <c r="AE37" s="79">
        <v>0</v>
      </c>
      <c r="AF37" s="79">
        <v>0</v>
      </c>
      <c r="AG37" s="79">
        <v>0</v>
      </c>
      <c r="AH37" s="79">
        <v>0</v>
      </c>
      <c r="AI37" s="79">
        <v>0</v>
      </c>
      <c r="AJ37" s="79">
        <v>0</v>
      </c>
      <c r="AK37" s="79">
        <v>0</v>
      </c>
      <c r="AL37" s="79">
        <v>0</v>
      </c>
      <c r="AM37" s="79">
        <v>0</v>
      </c>
      <c r="AN37" s="79">
        <v>0</v>
      </c>
      <c r="AO37" s="79">
        <v>0</v>
      </c>
      <c r="AP37" s="79">
        <v>0</v>
      </c>
      <c r="AQ37" s="79">
        <v>0</v>
      </c>
      <c r="AR37" s="79">
        <v>0</v>
      </c>
      <c r="AS37" s="79">
        <v>0</v>
      </c>
      <c r="AT37" s="80">
        <v>0</v>
      </c>
    </row>
    <row r="38" spans="2:46" ht="12" customHeight="1" x14ac:dyDescent="0.25">
      <c r="B38" s="78" t="s">
        <v>40</v>
      </c>
      <c r="C38" s="79" t="s">
        <v>23</v>
      </c>
      <c r="D38" s="79" t="s">
        <v>41</v>
      </c>
      <c r="E38" s="79" t="s">
        <v>25</v>
      </c>
      <c r="F38" s="79" t="s">
        <v>25</v>
      </c>
      <c r="G38" s="79" t="s">
        <v>25</v>
      </c>
      <c r="H38" s="79" t="s">
        <v>73</v>
      </c>
      <c r="I38" s="79" t="s">
        <v>25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79">
        <v>0</v>
      </c>
      <c r="AB38" s="79">
        <v>0</v>
      </c>
      <c r="AC38" s="79">
        <v>0</v>
      </c>
      <c r="AD38" s="79">
        <v>0</v>
      </c>
      <c r="AE38" s="79">
        <v>0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79">
        <v>0</v>
      </c>
      <c r="AM38" s="79">
        <v>0</v>
      </c>
      <c r="AN38" s="79">
        <v>0</v>
      </c>
      <c r="AO38" s="79">
        <v>0</v>
      </c>
      <c r="AP38" s="79">
        <v>0</v>
      </c>
      <c r="AQ38" s="79">
        <v>0</v>
      </c>
      <c r="AR38" s="79">
        <v>0</v>
      </c>
      <c r="AS38" s="79">
        <v>0</v>
      </c>
      <c r="AT38" s="80">
        <v>0</v>
      </c>
    </row>
    <row r="39" spans="2:46" ht="12" customHeight="1" x14ac:dyDescent="0.25">
      <c r="B39" s="78" t="s">
        <v>40</v>
      </c>
      <c r="C39" s="79" t="s">
        <v>23</v>
      </c>
      <c r="D39" s="79" t="s">
        <v>41</v>
      </c>
      <c r="E39" s="79" t="s">
        <v>91</v>
      </c>
      <c r="F39" s="79" t="s">
        <v>25</v>
      </c>
      <c r="G39" s="79" t="s">
        <v>25</v>
      </c>
      <c r="H39" s="79" t="s">
        <v>73</v>
      </c>
      <c r="I39" s="79" t="s">
        <v>25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0</v>
      </c>
      <c r="Y39" s="79">
        <v>0</v>
      </c>
      <c r="Z39" s="79">
        <v>0</v>
      </c>
      <c r="AA39" s="79">
        <v>0</v>
      </c>
      <c r="AB39" s="79">
        <v>0</v>
      </c>
      <c r="AC39" s="79">
        <v>0</v>
      </c>
      <c r="AD39" s="79">
        <v>0</v>
      </c>
      <c r="AE39" s="79">
        <v>0</v>
      </c>
      <c r="AF39" s="79">
        <v>0</v>
      </c>
      <c r="AG39" s="79">
        <v>0</v>
      </c>
      <c r="AH39" s="79">
        <v>0</v>
      </c>
      <c r="AI39" s="79">
        <v>0</v>
      </c>
      <c r="AJ39" s="79">
        <v>0</v>
      </c>
      <c r="AK39" s="79">
        <v>0</v>
      </c>
      <c r="AL39" s="79">
        <v>0</v>
      </c>
      <c r="AM39" s="79">
        <v>0</v>
      </c>
      <c r="AN39" s="79">
        <v>0</v>
      </c>
      <c r="AO39" s="79">
        <v>0</v>
      </c>
      <c r="AP39" s="79">
        <v>0</v>
      </c>
      <c r="AQ39" s="79">
        <v>0</v>
      </c>
      <c r="AR39" s="79">
        <v>0</v>
      </c>
      <c r="AS39" s="79">
        <v>0</v>
      </c>
      <c r="AT39" s="80">
        <v>0</v>
      </c>
    </row>
    <row r="40" spans="2:46" ht="12" customHeight="1" x14ac:dyDescent="0.25">
      <c r="B40" s="78" t="s">
        <v>40</v>
      </c>
      <c r="C40" s="79" t="s">
        <v>89</v>
      </c>
      <c r="D40" s="79" t="s">
        <v>41</v>
      </c>
      <c r="E40" s="79" t="s">
        <v>90</v>
      </c>
      <c r="F40" s="79" t="s">
        <v>25</v>
      </c>
      <c r="G40" s="79" t="s">
        <v>25</v>
      </c>
      <c r="H40" s="79" t="s">
        <v>73</v>
      </c>
      <c r="I40" s="79" t="s">
        <v>25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  <c r="Q40" s="79">
        <v>0</v>
      </c>
      <c r="R40" s="79">
        <v>0</v>
      </c>
      <c r="S40" s="79">
        <v>0</v>
      </c>
      <c r="T40" s="79">
        <v>0</v>
      </c>
      <c r="U40" s="79">
        <v>0</v>
      </c>
      <c r="V40" s="79">
        <v>0</v>
      </c>
      <c r="W40" s="79">
        <v>0</v>
      </c>
      <c r="X40" s="79">
        <v>0</v>
      </c>
      <c r="Y40" s="79">
        <v>0</v>
      </c>
      <c r="Z40" s="79">
        <v>0</v>
      </c>
      <c r="AA40" s="79">
        <v>0</v>
      </c>
      <c r="AB40" s="79">
        <v>0</v>
      </c>
      <c r="AC40" s="79">
        <v>0</v>
      </c>
      <c r="AD40" s="79">
        <v>0</v>
      </c>
      <c r="AE40" s="79">
        <v>0</v>
      </c>
      <c r="AF40" s="79">
        <v>0</v>
      </c>
      <c r="AG40" s="79">
        <v>0</v>
      </c>
      <c r="AH40" s="79">
        <v>0</v>
      </c>
      <c r="AI40" s="79">
        <v>0</v>
      </c>
      <c r="AJ40" s="79">
        <v>0</v>
      </c>
      <c r="AK40" s="79">
        <v>0</v>
      </c>
      <c r="AL40" s="79">
        <v>0</v>
      </c>
      <c r="AM40" s="79">
        <v>0</v>
      </c>
      <c r="AN40" s="79">
        <v>0</v>
      </c>
      <c r="AO40" s="79">
        <v>0</v>
      </c>
      <c r="AP40" s="79">
        <v>0</v>
      </c>
      <c r="AQ40" s="79">
        <v>0</v>
      </c>
      <c r="AR40" s="79">
        <v>0</v>
      </c>
      <c r="AS40" s="79">
        <v>0</v>
      </c>
      <c r="AT40" s="80">
        <v>0</v>
      </c>
    </row>
    <row r="41" spans="2:46" ht="12" customHeight="1" x14ac:dyDescent="0.25">
      <c r="B41" s="78" t="s">
        <v>40</v>
      </c>
      <c r="C41" s="79" t="s">
        <v>89</v>
      </c>
      <c r="D41" s="79" t="s">
        <v>41</v>
      </c>
      <c r="E41" s="79" t="s">
        <v>25</v>
      </c>
      <c r="F41" s="79" t="s">
        <v>25</v>
      </c>
      <c r="G41" s="79" t="s">
        <v>25</v>
      </c>
      <c r="H41" s="79" t="s">
        <v>73</v>
      </c>
      <c r="I41" s="79" t="s">
        <v>25</v>
      </c>
      <c r="J41" s="79">
        <v>0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  <c r="Q41" s="79">
        <v>0</v>
      </c>
      <c r="R41" s="79">
        <v>0</v>
      </c>
      <c r="S41" s="79">
        <v>0</v>
      </c>
      <c r="T41" s="79">
        <v>0</v>
      </c>
      <c r="U41" s="79">
        <v>0</v>
      </c>
      <c r="V41" s="79">
        <v>0</v>
      </c>
      <c r="W41" s="79">
        <v>0</v>
      </c>
      <c r="X41" s="79">
        <v>0</v>
      </c>
      <c r="Y41" s="79">
        <v>0</v>
      </c>
      <c r="Z41" s="79">
        <v>0</v>
      </c>
      <c r="AA41" s="79">
        <v>0</v>
      </c>
      <c r="AB41" s="79">
        <v>0</v>
      </c>
      <c r="AC41" s="79">
        <v>0</v>
      </c>
      <c r="AD41" s="79">
        <v>0</v>
      </c>
      <c r="AE41" s="79">
        <v>0</v>
      </c>
      <c r="AF41" s="79">
        <v>0</v>
      </c>
      <c r="AG41" s="79">
        <v>0</v>
      </c>
      <c r="AH41" s="79">
        <v>0</v>
      </c>
      <c r="AI41" s="79">
        <v>0</v>
      </c>
      <c r="AJ41" s="79">
        <v>0</v>
      </c>
      <c r="AK41" s="79">
        <v>0</v>
      </c>
      <c r="AL41" s="79">
        <v>0</v>
      </c>
      <c r="AM41" s="79">
        <v>0</v>
      </c>
      <c r="AN41" s="79">
        <v>0</v>
      </c>
      <c r="AO41" s="79">
        <v>0</v>
      </c>
      <c r="AP41" s="79">
        <v>0</v>
      </c>
      <c r="AQ41" s="79">
        <v>0</v>
      </c>
      <c r="AR41" s="79">
        <v>0</v>
      </c>
      <c r="AS41" s="79">
        <v>0</v>
      </c>
      <c r="AT41" s="80">
        <v>0</v>
      </c>
    </row>
    <row r="42" spans="2:46" ht="12" customHeight="1" x14ac:dyDescent="0.25">
      <c r="B42" s="78" t="s">
        <v>40</v>
      </c>
      <c r="C42" s="79" t="s">
        <v>89</v>
      </c>
      <c r="D42" s="79" t="s">
        <v>41</v>
      </c>
      <c r="E42" s="79" t="s">
        <v>91</v>
      </c>
      <c r="F42" s="79" t="s">
        <v>25</v>
      </c>
      <c r="G42" s="79" t="s">
        <v>25</v>
      </c>
      <c r="H42" s="79" t="s">
        <v>73</v>
      </c>
      <c r="I42" s="79" t="s">
        <v>25</v>
      </c>
      <c r="J42" s="79">
        <v>0</v>
      </c>
      <c r="K42" s="79">
        <v>0</v>
      </c>
      <c r="L42" s="79">
        <v>0</v>
      </c>
      <c r="M42" s="79">
        <v>0</v>
      </c>
      <c r="N42" s="79">
        <v>0</v>
      </c>
      <c r="O42" s="79">
        <v>0</v>
      </c>
      <c r="P42" s="79">
        <v>0</v>
      </c>
      <c r="Q42" s="79">
        <v>0</v>
      </c>
      <c r="R42" s="79">
        <v>0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  <c r="X42" s="79">
        <v>0</v>
      </c>
      <c r="Y42" s="79">
        <v>0</v>
      </c>
      <c r="Z42" s="79">
        <v>0</v>
      </c>
      <c r="AA42" s="79">
        <v>0</v>
      </c>
      <c r="AB42" s="79">
        <v>0</v>
      </c>
      <c r="AC42" s="79">
        <v>0</v>
      </c>
      <c r="AD42" s="79">
        <v>0</v>
      </c>
      <c r="AE42" s="79">
        <v>0</v>
      </c>
      <c r="AF42" s="79">
        <v>0</v>
      </c>
      <c r="AG42" s="79">
        <v>0</v>
      </c>
      <c r="AH42" s="79">
        <v>0</v>
      </c>
      <c r="AI42" s="79">
        <v>0</v>
      </c>
      <c r="AJ42" s="79">
        <v>0</v>
      </c>
      <c r="AK42" s="79">
        <v>0</v>
      </c>
      <c r="AL42" s="79">
        <v>0</v>
      </c>
      <c r="AM42" s="79">
        <v>0</v>
      </c>
      <c r="AN42" s="79">
        <v>0</v>
      </c>
      <c r="AO42" s="79">
        <v>0</v>
      </c>
      <c r="AP42" s="79">
        <v>0</v>
      </c>
      <c r="AQ42" s="79">
        <v>0</v>
      </c>
      <c r="AR42" s="79">
        <v>0</v>
      </c>
      <c r="AS42" s="79">
        <v>0</v>
      </c>
      <c r="AT42" s="80">
        <v>0</v>
      </c>
    </row>
    <row r="43" spans="2:46" ht="12" customHeight="1" x14ac:dyDescent="0.25">
      <c r="B43" s="78" t="s">
        <v>33</v>
      </c>
      <c r="C43" s="79" t="s">
        <v>87</v>
      </c>
      <c r="D43" s="79" t="s">
        <v>25</v>
      </c>
      <c r="E43" s="79" t="s">
        <v>25</v>
      </c>
      <c r="F43" s="79" t="s">
        <v>25</v>
      </c>
      <c r="G43" s="79" t="s">
        <v>37</v>
      </c>
      <c r="H43" s="79" t="s">
        <v>73</v>
      </c>
      <c r="I43" s="79" t="s">
        <v>25</v>
      </c>
      <c r="J43" s="79">
        <v>0</v>
      </c>
      <c r="K43" s="79">
        <v>0</v>
      </c>
      <c r="L43" s="79">
        <v>0</v>
      </c>
      <c r="M43" s="79">
        <v>0</v>
      </c>
      <c r="N43" s="79">
        <v>0</v>
      </c>
      <c r="O43" s="79">
        <v>0</v>
      </c>
      <c r="P43" s="79">
        <v>0</v>
      </c>
      <c r="Q43" s="79">
        <v>0</v>
      </c>
      <c r="R43" s="79">
        <v>0</v>
      </c>
      <c r="S43" s="79">
        <v>0</v>
      </c>
      <c r="T43" s="79">
        <v>0</v>
      </c>
      <c r="U43" s="79">
        <v>0</v>
      </c>
      <c r="V43" s="79">
        <v>0</v>
      </c>
      <c r="W43" s="79">
        <v>0</v>
      </c>
      <c r="X43" s="79">
        <v>0</v>
      </c>
      <c r="Y43" s="79">
        <v>0</v>
      </c>
      <c r="Z43" s="79">
        <v>0</v>
      </c>
      <c r="AA43" s="79">
        <v>0</v>
      </c>
      <c r="AB43" s="79">
        <v>0</v>
      </c>
      <c r="AC43" s="79">
        <v>0</v>
      </c>
      <c r="AD43" s="79">
        <v>0</v>
      </c>
      <c r="AE43" s="79">
        <v>0</v>
      </c>
      <c r="AF43" s="79">
        <v>0</v>
      </c>
      <c r="AG43" s="79">
        <v>0</v>
      </c>
      <c r="AH43" s="79">
        <v>0</v>
      </c>
      <c r="AI43" s="79">
        <v>0</v>
      </c>
      <c r="AJ43" s="79">
        <v>0</v>
      </c>
      <c r="AK43" s="79">
        <v>0</v>
      </c>
      <c r="AL43" s="79">
        <v>0</v>
      </c>
      <c r="AM43" s="79">
        <v>0</v>
      </c>
      <c r="AN43" s="79">
        <v>0</v>
      </c>
      <c r="AO43" s="79">
        <v>0</v>
      </c>
      <c r="AP43" s="79">
        <v>0</v>
      </c>
      <c r="AQ43" s="79">
        <v>0</v>
      </c>
      <c r="AR43" s="79">
        <v>0</v>
      </c>
      <c r="AS43" s="79">
        <v>0</v>
      </c>
      <c r="AT43" s="80">
        <v>0</v>
      </c>
    </row>
    <row r="44" spans="2:46" ht="12" customHeight="1" x14ac:dyDescent="0.25">
      <c r="B44" s="78" t="s">
        <v>33</v>
      </c>
      <c r="C44" s="79" t="s">
        <v>87</v>
      </c>
      <c r="D44" s="79" t="s">
        <v>25</v>
      </c>
      <c r="E44" s="79" t="s">
        <v>25</v>
      </c>
      <c r="F44" s="79" t="s">
        <v>25</v>
      </c>
      <c r="G44" s="79" t="s">
        <v>559</v>
      </c>
      <c r="H44" s="79" t="s">
        <v>73</v>
      </c>
      <c r="I44" s="79" t="s">
        <v>25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0</v>
      </c>
      <c r="Y44" s="79">
        <v>0</v>
      </c>
      <c r="Z44" s="79">
        <v>0</v>
      </c>
      <c r="AA44" s="79">
        <v>0</v>
      </c>
      <c r="AB44" s="79">
        <v>0</v>
      </c>
      <c r="AC44" s="79">
        <v>0</v>
      </c>
      <c r="AD44" s="79">
        <v>0</v>
      </c>
      <c r="AE44" s="79">
        <v>0</v>
      </c>
      <c r="AF44" s="79">
        <v>0</v>
      </c>
      <c r="AG44" s="79">
        <v>0</v>
      </c>
      <c r="AH44" s="79">
        <v>0</v>
      </c>
      <c r="AI44" s="79">
        <v>0</v>
      </c>
      <c r="AJ44" s="79">
        <v>0</v>
      </c>
      <c r="AK44" s="79">
        <v>0</v>
      </c>
      <c r="AL44" s="79">
        <v>0</v>
      </c>
      <c r="AM44" s="79">
        <v>0</v>
      </c>
      <c r="AN44" s="79">
        <v>0</v>
      </c>
      <c r="AO44" s="79">
        <v>0</v>
      </c>
      <c r="AP44" s="79">
        <v>0</v>
      </c>
      <c r="AQ44" s="79">
        <v>0</v>
      </c>
      <c r="AR44" s="79">
        <v>0</v>
      </c>
      <c r="AS44" s="79">
        <v>0</v>
      </c>
      <c r="AT44" s="80">
        <v>0</v>
      </c>
    </row>
    <row r="45" spans="2:46" ht="12" customHeight="1" x14ac:dyDescent="0.25">
      <c r="B45" s="78" t="s">
        <v>33</v>
      </c>
      <c r="C45" s="79" t="s">
        <v>87</v>
      </c>
      <c r="D45" s="79" t="s">
        <v>25</v>
      </c>
      <c r="E45" s="79" t="s">
        <v>25</v>
      </c>
      <c r="F45" s="79" t="s">
        <v>25</v>
      </c>
      <c r="G45" s="79" t="s">
        <v>38</v>
      </c>
      <c r="H45" s="79" t="s">
        <v>73</v>
      </c>
      <c r="I45" s="79" t="s">
        <v>25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  <c r="Z45" s="79">
        <v>0</v>
      </c>
      <c r="AA45" s="79">
        <v>0</v>
      </c>
      <c r="AB45" s="79">
        <v>0</v>
      </c>
      <c r="AC45" s="79">
        <v>0</v>
      </c>
      <c r="AD45" s="79">
        <v>0</v>
      </c>
      <c r="AE45" s="79">
        <v>0</v>
      </c>
      <c r="AF45" s="79">
        <v>0</v>
      </c>
      <c r="AG45" s="79">
        <v>0</v>
      </c>
      <c r="AH45" s="79">
        <v>0</v>
      </c>
      <c r="AI45" s="79">
        <v>0</v>
      </c>
      <c r="AJ45" s="79">
        <v>0</v>
      </c>
      <c r="AK45" s="79">
        <v>0</v>
      </c>
      <c r="AL45" s="79">
        <v>0</v>
      </c>
      <c r="AM45" s="79">
        <v>0</v>
      </c>
      <c r="AN45" s="79">
        <v>0</v>
      </c>
      <c r="AO45" s="79">
        <v>0</v>
      </c>
      <c r="AP45" s="79">
        <v>0</v>
      </c>
      <c r="AQ45" s="79">
        <v>0</v>
      </c>
      <c r="AR45" s="79">
        <v>0</v>
      </c>
      <c r="AS45" s="79">
        <v>0</v>
      </c>
      <c r="AT45" s="80">
        <v>0</v>
      </c>
    </row>
    <row r="46" spans="2:46" ht="12" customHeight="1" x14ac:dyDescent="0.25">
      <c r="B46" s="78" t="s">
        <v>33</v>
      </c>
      <c r="C46" s="79" t="s">
        <v>23</v>
      </c>
      <c r="D46" s="79" t="s">
        <v>25</v>
      </c>
      <c r="E46" s="79" t="s">
        <v>25</v>
      </c>
      <c r="F46" s="79" t="s">
        <v>25</v>
      </c>
      <c r="G46" s="79" t="s">
        <v>25</v>
      </c>
      <c r="H46" s="79" t="s">
        <v>73</v>
      </c>
      <c r="I46" s="79" t="s">
        <v>25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0</v>
      </c>
      <c r="Y46" s="79">
        <v>0</v>
      </c>
      <c r="Z46" s="79">
        <v>0</v>
      </c>
      <c r="AA46" s="79">
        <v>0</v>
      </c>
      <c r="AB46" s="79">
        <v>0</v>
      </c>
      <c r="AC46" s="79">
        <v>0</v>
      </c>
      <c r="AD46" s="79">
        <v>0</v>
      </c>
      <c r="AE46" s="79">
        <v>0</v>
      </c>
      <c r="AF46" s="79">
        <v>0</v>
      </c>
      <c r="AG46" s="79">
        <v>0</v>
      </c>
      <c r="AH46" s="79">
        <v>0</v>
      </c>
      <c r="AI46" s="79">
        <v>0</v>
      </c>
      <c r="AJ46" s="79">
        <v>0</v>
      </c>
      <c r="AK46" s="79">
        <v>0</v>
      </c>
      <c r="AL46" s="79">
        <v>0</v>
      </c>
      <c r="AM46" s="79">
        <v>0</v>
      </c>
      <c r="AN46" s="79">
        <v>0</v>
      </c>
      <c r="AO46" s="79">
        <v>0</v>
      </c>
      <c r="AP46" s="79">
        <v>0</v>
      </c>
      <c r="AQ46" s="79">
        <v>0</v>
      </c>
      <c r="AR46" s="79">
        <v>0</v>
      </c>
      <c r="AS46" s="79">
        <v>0</v>
      </c>
      <c r="AT46" s="80">
        <v>0</v>
      </c>
    </row>
    <row r="47" spans="2:46" ht="12" customHeight="1" x14ac:dyDescent="0.25">
      <c r="B47" s="78" t="s">
        <v>33</v>
      </c>
      <c r="C47" s="79" t="s">
        <v>89</v>
      </c>
      <c r="D47" s="79" t="s">
        <v>25</v>
      </c>
      <c r="E47" s="79" t="s">
        <v>25</v>
      </c>
      <c r="F47" s="79" t="s">
        <v>25</v>
      </c>
      <c r="G47" s="79" t="s">
        <v>25</v>
      </c>
      <c r="H47" s="79" t="s">
        <v>73</v>
      </c>
      <c r="I47" s="79" t="s">
        <v>25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79">
        <v>0</v>
      </c>
      <c r="AM47" s="79">
        <v>0</v>
      </c>
      <c r="AN47" s="79">
        <v>0</v>
      </c>
      <c r="AO47" s="79">
        <v>0</v>
      </c>
      <c r="AP47" s="79">
        <v>0</v>
      </c>
      <c r="AQ47" s="79">
        <v>0</v>
      </c>
      <c r="AR47" s="79">
        <v>0</v>
      </c>
      <c r="AS47" s="79">
        <v>0</v>
      </c>
      <c r="AT47" s="80">
        <v>0</v>
      </c>
    </row>
    <row r="48" spans="2:46" ht="12" customHeight="1" x14ac:dyDescent="0.25">
      <c r="B48" s="78" t="s">
        <v>43</v>
      </c>
      <c r="C48" s="79" t="s">
        <v>23</v>
      </c>
      <c r="D48" s="79" t="s">
        <v>44</v>
      </c>
      <c r="E48" s="79" t="s">
        <v>45</v>
      </c>
      <c r="F48" s="79" t="s">
        <v>25</v>
      </c>
      <c r="G48" s="79" t="s">
        <v>25</v>
      </c>
      <c r="H48" s="79" t="s">
        <v>73</v>
      </c>
      <c r="I48" s="79" t="s">
        <v>25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79">
        <v>0</v>
      </c>
      <c r="AM48" s="79">
        <v>0</v>
      </c>
      <c r="AN48" s="79">
        <v>0</v>
      </c>
      <c r="AO48" s="79">
        <v>0</v>
      </c>
      <c r="AP48" s="79">
        <v>0</v>
      </c>
      <c r="AQ48" s="79">
        <v>0</v>
      </c>
      <c r="AR48" s="79">
        <v>0</v>
      </c>
      <c r="AS48" s="79">
        <v>0</v>
      </c>
      <c r="AT48" s="80">
        <v>0</v>
      </c>
    </row>
    <row r="49" spans="2:46" ht="12" customHeight="1" x14ac:dyDescent="0.25">
      <c r="B49" s="81" t="s">
        <v>43</v>
      </c>
      <c r="C49" s="82" t="s">
        <v>23</v>
      </c>
      <c r="D49" s="82" t="s">
        <v>44</v>
      </c>
      <c r="E49" s="82" t="s">
        <v>46</v>
      </c>
      <c r="F49" s="82" t="s">
        <v>25</v>
      </c>
      <c r="G49" s="82" t="s">
        <v>25</v>
      </c>
      <c r="H49" s="82" t="s">
        <v>73</v>
      </c>
      <c r="I49" s="82" t="s">
        <v>25</v>
      </c>
      <c r="J49" s="82">
        <v>0</v>
      </c>
      <c r="K49" s="82">
        <v>0</v>
      </c>
      <c r="L49" s="82">
        <v>0</v>
      </c>
      <c r="M49" s="82">
        <v>0</v>
      </c>
      <c r="N49" s="82">
        <v>0</v>
      </c>
      <c r="O49" s="82">
        <v>0</v>
      </c>
      <c r="P49" s="82">
        <v>0</v>
      </c>
      <c r="Q49" s="82">
        <v>0</v>
      </c>
      <c r="R49" s="82">
        <v>0</v>
      </c>
      <c r="S49" s="82">
        <v>0</v>
      </c>
      <c r="T49" s="82">
        <v>0</v>
      </c>
      <c r="U49" s="82">
        <v>0</v>
      </c>
      <c r="V49" s="82">
        <v>0</v>
      </c>
      <c r="W49" s="82">
        <v>0</v>
      </c>
      <c r="X49" s="82">
        <v>0</v>
      </c>
      <c r="Y49" s="82">
        <v>0</v>
      </c>
      <c r="Z49" s="82">
        <v>0</v>
      </c>
      <c r="AA49" s="82">
        <v>0</v>
      </c>
      <c r="AB49" s="82">
        <v>0</v>
      </c>
      <c r="AC49" s="82">
        <v>0</v>
      </c>
      <c r="AD49" s="82">
        <v>0</v>
      </c>
      <c r="AE49" s="82">
        <v>0</v>
      </c>
      <c r="AF49" s="82">
        <v>0</v>
      </c>
      <c r="AG49" s="82">
        <v>0</v>
      </c>
      <c r="AH49" s="82">
        <v>0</v>
      </c>
      <c r="AI49" s="82">
        <v>0</v>
      </c>
      <c r="AJ49" s="82">
        <v>0</v>
      </c>
      <c r="AK49" s="82">
        <v>0</v>
      </c>
      <c r="AL49" s="82">
        <v>0</v>
      </c>
      <c r="AM49" s="82">
        <v>0</v>
      </c>
      <c r="AN49" s="82">
        <v>0</v>
      </c>
      <c r="AO49" s="82">
        <v>0</v>
      </c>
      <c r="AP49" s="82">
        <v>0</v>
      </c>
      <c r="AQ49" s="82">
        <v>0</v>
      </c>
      <c r="AR49" s="82">
        <v>0</v>
      </c>
      <c r="AS49" s="82">
        <v>0</v>
      </c>
      <c r="AT49" s="83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2022-09-05T15:22:14Z</dcterms:created>
  <dcterms:modified xsi:type="dcterms:W3CDTF">2022-09-20T17:48:36Z</dcterms:modified>
</cp:coreProperties>
</file>